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105001154\Desktop\支援システム変更の変更関係（令和2年）\"/>
    </mc:Choice>
  </mc:AlternateContent>
  <bookViews>
    <workbookView xWindow="0" yWindow="0" windowWidth="23940" windowHeight="9510" activeTab="3"/>
  </bookViews>
  <sheets>
    <sheet name="手書用" sheetId="1" r:id="rId1"/>
    <sheet name="自動計算" sheetId="3" r:id="rId2"/>
    <sheet name="自動計算(建物)" sheetId="4" r:id="rId3"/>
    <sheet name="自動計算 (構築物)" sheetId="5" r:id="rId4"/>
  </sheets>
  <definedNames>
    <definedName name="_xlnm.Print_Area" localSheetId="1">自動計算!$A$1:$AA$24</definedName>
    <definedName name="_xlnm.Print_Area" localSheetId="3">'自動計算 (構築物)'!$A$1:$AA$29</definedName>
    <definedName name="_xlnm.Print_Area" localSheetId="2">'自動計算(建物)'!$A$1:$V$29</definedName>
    <definedName name="_xlnm.Print_Area" localSheetId="0">手書用!$A$1:$Q$23</definedName>
  </definedNames>
  <calcPr calcId="162913"/>
</workbook>
</file>

<file path=xl/calcChain.xml><?xml version="1.0" encoding="utf-8"?>
<calcChain xmlns="http://schemas.openxmlformats.org/spreadsheetml/2006/main">
  <c r="V7" i="5" l="1"/>
  <c r="D7" i="5" s="1"/>
  <c r="V7" i="3"/>
  <c r="D7" i="3"/>
  <c r="L7" i="3" s="1"/>
  <c r="F7" i="4"/>
  <c r="N7" i="4"/>
  <c r="N8" i="4" s="1"/>
  <c r="N9" i="4" s="1"/>
  <c r="N10" i="4" s="1"/>
  <c r="N11" i="4" s="1"/>
  <c r="N12" i="4" s="1"/>
  <c r="N13" i="4" s="1"/>
  <c r="N14" i="4" s="1"/>
  <c r="N15" i="4" s="1"/>
  <c r="N16" i="4" s="1"/>
  <c r="N17" i="4" s="1"/>
  <c r="N18" i="4" s="1"/>
  <c r="N19" i="4" s="1"/>
  <c r="N20" i="4" s="1"/>
  <c r="N21" i="4" s="1"/>
  <c r="N22" i="4" s="1"/>
  <c r="N23" i="4" s="1"/>
  <c r="N24" i="4" s="1"/>
  <c r="N25" i="4" s="1"/>
  <c r="N26" i="4" s="1"/>
  <c r="N27" i="4" s="1"/>
  <c r="N28" i="4" s="1"/>
  <c r="N29" i="4" s="1"/>
  <c r="X7" i="3"/>
  <c r="X7" i="5"/>
  <c r="D7" i="4"/>
  <c r="K7" i="3"/>
  <c r="C8" i="5"/>
  <c r="C9" i="5" s="1"/>
  <c r="C10" i="5" s="1"/>
  <c r="C11" i="5" s="1"/>
  <c r="C12" i="5" s="1"/>
  <c r="C13" i="5" s="1"/>
  <c r="C14" i="5" s="1"/>
  <c r="C15" i="5" s="1"/>
  <c r="C16" i="5" s="1"/>
  <c r="C17" i="5" s="1"/>
  <c r="C18" i="5" s="1"/>
  <c r="C19" i="5" s="1"/>
  <c r="C20" i="5" s="1"/>
  <c r="C21" i="5" s="1"/>
  <c r="C22" i="5" s="1"/>
  <c r="C23" i="5" s="1"/>
  <c r="C24" i="5" s="1"/>
  <c r="C25" i="5" s="1"/>
  <c r="C26" i="5" s="1"/>
  <c r="C27" i="5" s="1"/>
  <c r="C28" i="5" s="1"/>
  <c r="C29" i="5" s="1"/>
  <c r="C8" i="4"/>
  <c r="C9" i="4" s="1"/>
  <c r="C10" i="4" s="1"/>
  <c r="C11" i="4" s="1"/>
  <c r="C12" i="4" s="1"/>
  <c r="C13" i="4" s="1"/>
  <c r="C14" i="4" s="1"/>
  <c r="C15" i="4" s="1"/>
  <c r="C16" i="4" s="1"/>
  <c r="C17" i="4" s="1"/>
  <c r="C18" i="4" s="1"/>
  <c r="C19" i="4" s="1"/>
  <c r="C20" i="4" s="1"/>
  <c r="C21" i="4" s="1"/>
  <c r="C22" i="4" s="1"/>
  <c r="C23" i="4" s="1"/>
  <c r="C24" i="4" s="1"/>
  <c r="C25" i="4" s="1"/>
  <c r="C26" i="4" s="1"/>
  <c r="C27" i="4" s="1"/>
  <c r="C28" i="4" s="1"/>
  <c r="C29" i="4" s="1"/>
  <c r="C8" i="3"/>
  <c r="C9" i="3"/>
  <c r="C10" i="3" s="1"/>
  <c r="C11" i="3" s="1"/>
  <c r="C12" i="3" s="1"/>
  <c r="C13" i="3" s="1"/>
  <c r="C14" i="3" s="1"/>
  <c r="C15" i="3" s="1"/>
  <c r="C16" i="3" s="1"/>
  <c r="C17" i="3" s="1"/>
  <c r="C18" i="3" s="1"/>
  <c r="C19" i="3" s="1"/>
  <c r="C20" i="3" s="1"/>
  <c r="C21" i="3" s="1"/>
  <c r="C22" i="3" s="1"/>
  <c r="C23" i="3" s="1"/>
  <c r="C24" i="3" s="1"/>
  <c r="O7" i="3"/>
  <c r="P7" i="4"/>
  <c r="O7" i="5"/>
  <c r="M7" i="3"/>
  <c r="J7" i="3"/>
  <c r="E7" i="3"/>
  <c r="V8" i="3"/>
  <c r="D8" i="3" s="1"/>
  <c r="E7" i="4"/>
  <c r="M7" i="5"/>
  <c r="K7" i="5" l="1"/>
  <c r="N7" i="5" s="1"/>
  <c r="R7" i="5" s="1"/>
  <c r="Y7" i="5" s="1"/>
  <c r="Z7" i="5" s="1"/>
  <c r="J7" i="5"/>
  <c r="V8" i="5"/>
  <c r="E7" i="5"/>
  <c r="L7" i="5" s="1"/>
  <c r="V9" i="5"/>
  <c r="V10" i="5" s="1"/>
  <c r="M7" i="4"/>
  <c r="N8" i="5"/>
  <c r="S8" i="5" s="1"/>
  <c r="M8" i="5"/>
  <c r="AA5" i="5"/>
  <c r="AA7" i="5"/>
  <c r="V9" i="3"/>
  <c r="E9" i="3" s="1"/>
  <c r="M8" i="3"/>
  <c r="E8" i="3"/>
  <c r="L8" i="3" s="1"/>
  <c r="AA7" i="3"/>
  <c r="AA5" i="3"/>
  <c r="N7" i="3"/>
  <c r="S7" i="3" s="1"/>
  <c r="T7" i="3" s="1"/>
  <c r="N9" i="3"/>
  <c r="S9" i="3" s="1"/>
  <c r="N8" i="3"/>
  <c r="S8" i="3" s="1"/>
  <c r="K7" i="4"/>
  <c r="L7" i="4"/>
  <c r="O7" i="4" s="1"/>
  <c r="O8" i="4" s="1"/>
  <c r="O9" i="4" s="1"/>
  <c r="O10" i="4" s="1"/>
  <c r="O11" i="4" s="1"/>
  <c r="O12" i="4" s="1"/>
  <c r="O13" i="4" s="1"/>
  <c r="O14" i="4" s="1"/>
  <c r="O15" i="4" s="1"/>
  <c r="O16" i="4" s="1"/>
  <c r="O17" i="4" s="1"/>
  <c r="O18" i="4" s="1"/>
  <c r="O19" i="4" s="1"/>
  <c r="O20" i="4" s="1"/>
  <c r="O21" i="4" s="1"/>
  <c r="O22" i="4" s="1"/>
  <c r="O23" i="4" s="1"/>
  <c r="O24" i="4" s="1"/>
  <c r="O25" i="4" s="1"/>
  <c r="O26" i="4" s="1"/>
  <c r="O27" i="4" s="1"/>
  <c r="O28" i="4" s="1"/>
  <c r="O29" i="4" s="1"/>
  <c r="F8" i="4"/>
  <c r="V7" i="4"/>
  <c r="V5" i="4"/>
  <c r="S7" i="5" l="1"/>
  <c r="T7" i="5" s="1"/>
  <c r="M10" i="5"/>
  <c r="D10" i="5"/>
  <c r="E10" i="5"/>
  <c r="L10" i="5" s="1"/>
  <c r="N10" i="5"/>
  <c r="S10" i="5" s="1"/>
  <c r="V11" i="5"/>
  <c r="N9" i="5"/>
  <c r="S9" i="5" s="1"/>
  <c r="T9" i="5" s="1"/>
  <c r="D9" i="5"/>
  <c r="D8" i="5"/>
  <c r="L8" i="5" s="1"/>
  <c r="E8" i="5"/>
  <c r="M9" i="5"/>
  <c r="E9" i="5"/>
  <c r="L9" i="5" s="1"/>
  <c r="M9" i="3"/>
  <c r="T8" i="5"/>
  <c r="U8" i="5" s="1"/>
  <c r="U7" i="5"/>
  <c r="W8" i="5" s="1"/>
  <c r="E11" i="5"/>
  <c r="V12" i="5"/>
  <c r="D11" i="5"/>
  <c r="N11" i="5"/>
  <c r="S11" i="5" s="1"/>
  <c r="M11" i="5"/>
  <c r="D9" i="3"/>
  <c r="L9" i="3" s="1"/>
  <c r="V10" i="3"/>
  <c r="T8" i="3"/>
  <c r="R7" i="3"/>
  <c r="Y7" i="3" s="1"/>
  <c r="Z7" i="3" s="1"/>
  <c r="T9" i="3"/>
  <c r="U7" i="3"/>
  <c r="W8" i="3" s="1"/>
  <c r="U8" i="3"/>
  <c r="E8" i="4"/>
  <c r="D8" i="4"/>
  <c r="F9" i="4"/>
  <c r="S7" i="4"/>
  <c r="T7" i="4" s="1"/>
  <c r="T10" i="5" l="1"/>
  <c r="L11" i="5"/>
  <c r="T11" i="5"/>
  <c r="U10" i="5"/>
  <c r="W11" i="5" s="1"/>
  <c r="X8" i="5"/>
  <c r="R8" i="5" s="1"/>
  <c r="D12" i="5"/>
  <c r="N12" i="5"/>
  <c r="S12" i="5" s="1"/>
  <c r="T12" i="5" s="1"/>
  <c r="E12" i="5"/>
  <c r="M12" i="5"/>
  <c r="V13" i="5"/>
  <c r="U9" i="5"/>
  <c r="U11" i="5"/>
  <c r="W9" i="5"/>
  <c r="X9" i="5" s="1"/>
  <c r="U9" i="3"/>
  <c r="V11" i="3"/>
  <c r="N10" i="3"/>
  <c r="S10" i="3" s="1"/>
  <c r="T10" i="3" s="1"/>
  <c r="D10" i="3"/>
  <c r="M10" i="3"/>
  <c r="E10" i="3"/>
  <c r="W10" i="3"/>
  <c r="X10" i="3" s="1"/>
  <c r="X8" i="3"/>
  <c r="W9" i="3"/>
  <c r="X9" i="3" s="1"/>
  <c r="R8" i="3"/>
  <c r="M8" i="4"/>
  <c r="U7" i="4"/>
  <c r="S8" i="4"/>
  <c r="T8" i="4" s="1"/>
  <c r="D9" i="4"/>
  <c r="F10" i="4"/>
  <c r="E9" i="4"/>
  <c r="U12" i="5" l="1"/>
  <c r="Y8" i="5"/>
  <c r="Z8" i="5" s="1"/>
  <c r="W12" i="5"/>
  <c r="V14" i="5"/>
  <c r="M13" i="5"/>
  <c r="N13" i="5"/>
  <c r="S13" i="5" s="1"/>
  <c r="T13" i="5" s="1"/>
  <c r="E13" i="5"/>
  <c r="D13" i="5"/>
  <c r="L12" i="5"/>
  <c r="W10" i="5"/>
  <c r="X10" i="5" s="1"/>
  <c r="R10" i="5" s="1"/>
  <c r="R9" i="5"/>
  <c r="Y9" i="5" s="1"/>
  <c r="Z9" i="5" s="1"/>
  <c r="U10" i="3"/>
  <c r="R9" i="3"/>
  <c r="L10" i="3"/>
  <c r="V12" i="3"/>
  <c r="M11" i="3"/>
  <c r="D11" i="3"/>
  <c r="E11" i="3"/>
  <c r="N11" i="3"/>
  <c r="S11" i="3" s="1"/>
  <c r="T11" i="3" s="1"/>
  <c r="Y8" i="3"/>
  <c r="Z8" i="3" s="1"/>
  <c r="Y9" i="3"/>
  <c r="Z9" i="3" s="1"/>
  <c r="E10" i="4"/>
  <c r="D10" i="4"/>
  <c r="F11" i="4"/>
  <c r="S9" i="4"/>
  <c r="T9" i="4" s="1"/>
  <c r="S10" i="4" s="1"/>
  <c r="U8" i="4"/>
  <c r="M9" i="4"/>
  <c r="X11" i="5" l="1"/>
  <c r="R11" i="5" s="1"/>
  <c r="Y11" i="5" s="1"/>
  <c r="Z11" i="5" s="1"/>
  <c r="U13" i="5"/>
  <c r="Y10" i="5"/>
  <c r="Z10" i="5" s="1"/>
  <c r="W13" i="5"/>
  <c r="X12" i="5"/>
  <c r="R12" i="5" s="1"/>
  <c r="L13" i="5"/>
  <c r="D14" i="5"/>
  <c r="E14" i="5"/>
  <c r="N14" i="5"/>
  <c r="S14" i="5" s="1"/>
  <c r="T14" i="5" s="1"/>
  <c r="V15" i="5"/>
  <c r="M14" i="5"/>
  <c r="U11" i="3"/>
  <c r="W12" i="3" s="1"/>
  <c r="W11" i="3"/>
  <c r="R10" i="3"/>
  <c r="Y10" i="3" s="1"/>
  <c r="Z10" i="3" s="1"/>
  <c r="L11" i="3"/>
  <c r="E12" i="3"/>
  <c r="M12" i="3"/>
  <c r="D12" i="3"/>
  <c r="L12" i="3" s="1"/>
  <c r="N12" i="3"/>
  <c r="S12" i="3" s="1"/>
  <c r="T12" i="3" s="1"/>
  <c r="V13" i="3"/>
  <c r="M10" i="4"/>
  <c r="U9" i="4"/>
  <c r="D11" i="4"/>
  <c r="E11" i="4"/>
  <c r="F12" i="4"/>
  <c r="T10" i="4"/>
  <c r="U14" i="5" l="1"/>
  <c r="Y12" i="5"/>
  <c r="Z12" i="5" s="1"/>
  <c r="V16" i="5"/>
  <c r="M15" i="5"/>
  <c r="D15" i="5"/>
  <c r="N15" i="5"/>
  <c r="S15" i="5" s="1"/>
  <c r="T15" i="5" s="1"/>
  <c r="E15" i="5"/>
  <c r="W14" i="5"/>
  <c r="L14" i="5"/>
  <c r="X13" i="5"/>
  <c r="R13" i="5" s="1"/>
  <c r="V14" i="3"/>
  <c r="D13" i="3"/>
  <c r="L13" i="3" s="1"/>
  <c r="E13" i="3"/>
  <c r="N13" i="3"/>
  <c r="S13" i="3" s="1"/>
  <c r="T13" i="3" s="1"/>
  <c r="M13" i="3"/>
  <c r="U12" i="3"/>
  <c r="X12" i="3"/>
  <c r="X11" i="3"/>
  <c r="R11" i="3" s="1"/>
  <c r="Y11" i="3" s="1"/>
  <c r="Z11" i="3" s="1"/>
  <c r="F13" i="4"/>
  <c r="D12" i="4"/>
  <c r="E12" i="4"/>
  <c r="M11" i="4"/>
  <c r="S11" i="4"/>
  <c r="U10" i="4"/>
  <c r="Y13" i="5" l="1"/>
  <c r="Z13" i="5" s="1"/>
  <c r="U15" i="5"/>
  <c r="X14" i="5"/>
  <c r="R14" i="5"/>
  <c r="Y14" i="5" s="1"/>
  <c r="Z14" i="5" s="1"/>
  <c r="W15" i="5"/>
  <c r="L15" i="5"/>
  <c r="D16" i="5"/>
  <c r="M16" i="5"/>
  <c r="E16" i="5"/>
  <c r="N16" i="5"/>
  <c r="S16" i="5" s="1"/>
  <c r="T16" i="5" s="1"/>
  <c r="V17" i="5"/>
  <c r="U13" i="3"/>
  <c r="W14" i="3" s="1"/>
  <c r="R12" i="3"/>
  <c r="Y12" i="3" s="1"/>
  <c r="Z12" i="3" s="1"/>
  <c r="W13" i="3"/>
  <c r="D14" i="3"/>
  <c r="E14" i="3"/>
  <c r="M14" i="3"/>
  <c r="V15" i="3"/>
  <c r="N14" i="3"/>
  <c r="S14" i="3" s="1"/>
  <c r="T14" i="3" s="1"/>
  <c r="D13" i="4"/>
  <c r="F14" i="4"/>
  <c r="E13" i="4"/>
  <c r="M12" i="4"/>
  <c r="T11" i="4"/>
  <c r="U16" i="5" l="1"/>
  <c r="X15" i="5"/>
  <c r="R15" i="5" s="1"/>
  <c r="N17" i="5"/>
  <c r="S17" i="5" s="1"/>
  <c r="T17" i="5" s="1"/>
  <c r="E17" i="5"/>
  <c r="V18" i="5"/>
  <c r="D17" i="5"/>
  <c r="M17" i="5"/>
  <c r="L16" i="5"/>
  <c r="W16" i="5"/>
  <c r="N15" i="3"/>
  <c r="S15" i="3" s="1"/>
  <c r="T15" i="3" s="1"/>
  <c r="E15" i="3"/>
  <c r="V16" i="3"/>
  <c r="D15" i="3"/>
  <c r="M15" i="3"/>
  <c r="X13" i="3"/>
  <c r="R13" i="3" s="1"/>
  <c r="Y13" i="3" s="1"/>
  <c r="Z13" i="3" s="1"/>
  <c r="X14" i="3"/>
  <c r="U14" i="3"/>
  <c r="L14" i="3"/>
  <c r="F15" i="4"/>
  <c r="D14" i="4"/>
  <c r="E14" i="4"/>
  <c r="M13" i="4"/>
  <c r="S12" i="4"/>
  <c r="U11" i="4"/>
  <c r="L17" i="5" l="1"/>
  <c r="L15" i="3"/>
  <c r="Y15" i="5"/>
  <c r="Z15" i="5" s="1"/>
  <c r="U17" i="5"/>
  <c r="D18" i="5"/>
  <c r="N18" i="5"/>
  <c r="S18" i="5" s="1"/>
  <c r="T18" i="5" s="1"/>
  <c r="V19" i="5"/>
  <c r="E18" i="5"/>
  <c r="M18" i="5"/>
  <c r="W17" i="5"/>
  <c r="X17" i="5" s="1"/>
  <c r="X16" i="5"/>
  <c r="R16" i="5" s="1"/>
  <c r="Y16" i="5" s="1"/>
  <c r="Z16" i="5" s="1"/>
  <c r="U15" i="3"/>
  <c r="W15" i="3"/>
  <c r="X15" i="3" s="1"/>
  <c r="R14" i="3"/>
  <c r="Y14" i="3" s="1"/>
  <c r="Z14" i="3" s="1"/>
  <c r="M16" i="3"/>
  <c r="N16" i="3"/>
  <c r="S16" i="3" s="1"/>
  <c r="T16" i="3" s="1"/>
  <c r="D16" i="3"/>
  <c r="E16" i="3"/>
  <c r="V17" i="3"/>
  <c r="D15" i="4"/>
  <c r="F16" i="4"/>
  <c r="E15" i="4"/>
  <c r="M14" i="4"/>
  <c r="T12" i="4"/>
  <c r="L18" i="5" l="1"/>
  <c r="U18" i="5"/>
  <c r="V20" i="5"/>
  <c r="E19" i="5"/>
  <c r="D19" i="5"/>
  <c r="N19" i="5"/>
  <c r="S19" i="5" s="1"/>
  <c r="T19" i="5" s="1"/>
  <c r="M19" i="5"/>
  <c r="W18" i="5"/>
  <c r="X18" i="5" s="1"/>
  <c r="R17" i="5"/>
  <c r="Y17" i="5" s="1"/>
  <c r="Z17" i="5" s="1"/>
  <c r="U16" i="3"/>
  <c r="W17" i="3" s="1"/>
  <c r="R15" i="3"/>
  <c r="Y15" i="3" s="1"/>
  <c r="Z15" i="3" s="1"/>
  <c r="W16" i="3"/>
  <c r="X16" i="3" s="1"/>
  <c r="R16" i="3" s="1"/>
  <c r="Y16" i="3" s="1"/>
  <c r="Z16" i="3" s="1"/>
  <c r="N17" i="3"/>
  <c r="S17" i="3" s="1"/>
  <c r="T17" i="3" s="1"/>
  <c r="M17" i="3"/>
  <c r="V18" i="3"/>
  <c r="D17" i="3"/>
  <c r="L17" i="3" s="1"/>
  <c r="E17" i="3"/>
  <c r="L16" i="3"/>
  <c r="F17" i="4"/>
  <c r="D16" i="4"/>
  <c r="E16" i="4"/>
  <c r="M15" i="4"/>
  <c r="S13" i="4"/>
  <c r="T13" i="4" s="1"/>
  <c r="U12" i="4"/>
  <c r="X17" i="3" l="1"/>
  <c r="U19" i="5"/>
  <c r="R18" i="5"/>
  <c r="Y18" i="5" s="1"/>
  <c r="Z18" i="5" s="1"/>
  <c r="W19" i="5"/>
  <c r="X19" i="5" s="1"/>
  <c r="L19" i="5"/>
  <c r="D20" i="5"/>
  <c r="M20" i="5"/>
  <c r="V21" i="5"/>
  <c r="E20" i="5"/>
  <c r="N20" i="5"/>
  <c r="S20" i="5" s="1"/>
  <c r="T20" i="5" s="1"/>
  <c r="U17" i="3"/>
  <c r="D18" i="3"/>
  <c r="V19" i="3"/>
  <c r="N18" i="3"/>
  <c r="S18" i="3" s="1"/>
  <c r="T18" i="3" s="1"/>
  <c r="E18" i="3"/>
  <c r="M18" i="3"/>
  <c r="D17" i="4"/>
  <c r="E17" i="4"/>
  <c r="F18" i="4"/>
  <c r="M16" i="4"/>
  <c r="U13" i="4"/>
  <c r="S14" i="4"/>
  <c r="T14" i="4" s="1"/>
  <c r="L20" i="5" l="1"/>
  <c r="U20" i="5"/>
  <c r="V22" i="5"/>
  <c r="M21" i="5"/>
  <c r="D21" i="5"/>
  <c r="N21" i="5"/>
  <c r="S21" i="5" s="1"/>
  <c r="T21" i="5" s="1"/>
  <c r="E21" i="5"/>
  <c r="W20" i="5"/>
  <c r="X20" i="5" s="1"/>
  <c r="R19" i="5"/>
  <c r="Y19" i="5" s="1"/>
  <c r="Z19" i="5" s="1"/>
  <c r="U18" i="3"/>
  <c r="M19" i="3"/>
  <c r="D19" i="3"/>
  <c r="L19" i="3" s="1"/>
  <c r="V20" i="3"/>
  <c r="N19" i="3"/>
  <c r="S19" i="3" s="1"/>
  <c r="T19" i="3" s="1"/>
  <c r="E19" i="3"/>
  <c r="W18" i="3"/>
  <c r="X18" i="3" s="1"/>
  <c r="R17" i="3"/>
  <c r="Y17" i="3" s="1"/>
  <c r="Z17" i="3" s="1"/>
  <c r="L18" i="3"/>
  <c r="E18" i="4"/>
  <c r="D18" i="4"/>
  <c r="F19" i="4"/>
  <c r="M17" i="4"/>
  <c r="U14" i="4"/>
  <c r="S15" i="4"/>
  <c r="T15" i="4" s="1"/>
  <c r="U21" i="5" l="1"/>
  <c r="W21" i="5"/>
  <c r="X21" i="5" s="1"/>
  <c r="R20" i="5"/>
  <c r="Y20" i="5" s="1"/>
  <c r="Z20" i="5" s="1"/>
  <c r="L21" i="5"/>
  <c r="D22" i="5"/>
  <c r="N22" i="5"/>
  <c r="S22" i="5" s="1"/>
  <c r="T22" i="5" s="1"/>
  <c r="M22" i="5"/>
  <c r="E22" i="5"/>
  <c r="V23" i="5"/>
  <c r="U19" i="3"/>
  <c r="D20" i="3"/>
  <c r="E20" i="3"/>
  <c r="V21" i="3"/>
  <c r="M20" i="3"/>
  <c r="N20" i="3"/>
  <c r="S20" i="3" s="1"/>
  <c r="T20" i="3" s="1"/>
  <c r="R18" i="3"/>
  <c r="Y18" i="3" s="1"/>
  <c r="Z18" i="3" s="1"/>
  <c r="W19" i="3"/>
  <c r="X19" i="3" s="1"/>
  <c r="D19" i="4"/>
  <c r="E19" i="4"/>
  <c r="F20" i="4"/>
  <c r="M18" i="4"/>
  <c r="U15" i="4"/>
  <c r="S16" i="4"/>
  <c r="T16" i="4" s="1"/>
  <c r="L22" i="5" l="1"/>
  <c r="U22" i="5"/>
  <c r="D23" i="5"/>
  <c r="E23" i="5"/>
  <c r="M23" i="5"/>
  <c r="V24" i="5"/>
  <c r="N23" i="5"/>
  <c r="S23" i="5" s="1"/>
  <c r="T23" i="5" s="1"/>
  <c r="W22" i="5"/>
  <c r="X22" i="5" s="1"/>
  <c r="R21" i="5"/>
  <c r="Y21" i="5" s="1"/>
  <c r="Z21" i="5" s="1"/>
  <c r="U20" i="3"/>
  <c r="M21" i="3"/>
  <c r="D21" i="3"/>
  <c r="L21" i="3" s="1"/>
  <c r="E21" i="3"/>
  <c r="N21" i="3"/>
  <c r="S21" i="3" s="1"/>
  <c r="T21" i="3" s="1"/>
  <c r="V22" i="3"/>
  <c r="L20" i="3"/>
  <c r="W20" i="3"/>
  <c r="X20" i="3" s="1"/>
  <c r="R19" i="3"/>
  <c r="Y19" i="3" s="1"/>
  <c r="Z19" i="3" s="1"/>
  <c r="D20" i="4"/>
  <c r="E20" i="4"/>
  <c r="F21" i="4"/>
  <c r="M19" i="4"/>
  <c r="S17" i="4"/>
  <c r="T17" i="4" s="1"/>
  <c r="U16" i="4"/>
  <c r="M20" i="4" l="1"/>
  <c r="U23" i="5"/>
  <c r="D24" i="5"/>
  <c r="N24" i="5"/>
  <c r="S24" i="5" s="1"/>
  <c r="T24" i="5" s="1"/>
  <c r="V25" i="5"/>
  <c r="M24" i="5"/>
  <c r="E24" i="5"/>
  <c r="W23" i="5"/>
  <c r="X23" i="5" s="1"/>
  <c r="R22" i="5"/>
  <c r="Y22" i="5" s="1"/>
  <c r="Z22" i="5" s="1"/>
  <c r="L23" i="5"/>
  <c r="U21" i="3"/>
  <c r="R20" i="3"/>
  <c r="Y20" i="3" s="1"/>
  <c r="Z20" i="3" s="1"/>
  <c r="W21" i="3"/>
  <c r="X21" i="3" s="1"/>
  <c r="D22" i="3"/>
  <c r="N22" i="3"/>
  <c r="S22" i="3" s="1"/>
  <c r="T22" i="3" s="1"/>
  <c r="V23" i="3"/>
  <c r="E22" i="3"/>
  <c r="M22" i="3"/>
  <c r="D21" i="4"/>
  <c r="E21" i="4"/>
  <c r="F22" i="4"/>
  <c r="S18" i="4"/>
  <c r="T18" i="4" s="1"/>
  <c r="U17" i="4"/>
  <c r="U24" i="5" l="1"/>
  <c r="W24" i="5"/>
  <c r="X24" i="5" s="1"/>
  <c r="R23" i="5"/>
  <c r="Y23" i="5" s="1"/>
  <c r="Z23" i="5" s="1"/>
  <c r="E25" i="5"/>
  <c r="V26" i="5"/>
  <c r="D25" i="5"/>
  <c r="M25" i="5"/>
  <c r="N25" i="5"/>
  <c r="S25" i="5" s="1"/>
  <c r="T25" i="5" s="1"/>
  <c r="L24" i="5"/>
  <c r="U22" i="3"/>
  <c r="V24" i="3"/>
  <c r="E23" i="3"/>
  <c r="D23" i="3"/>
  <c r="N23" i="3"/>
  <c r="S23" i="3" s="1"/>
  <c r="T23" i="3" s="1"/>
  <c r="M23" i="3"/>
  <c r="L22" i="3"/>
  <c r="W22" i="3"/>
  <c r="X22" i="3" s="1"/>
  <c r="R21" i="3"/>
  <c r="Y21" i="3" s="1"/>
  <c r="Z21" i="3" s="1"/>
  <c r="F23" i="4"/>
  <c r="D22" i="4"/>
  <c r="E22" i="4"/>
  <c r="M21" i="4"/>
  <c r="S19" i="4"/>
  <c r="T19" i="4" s="1"/>
  <c r="U18" i="4"/>
  <c r="L25" i="5" l="1"/>
  <c r="U25" i="5"/>
  <c r="D26" i="5"/>
  <c r="E26" i="5"/>
  <c r="V27" i="5"/>
  <c r="N26" i="5"/>
  <c r="S26" i="5" s="1"/>
  <c r="T26" i="5" s="1"/>
  <c r="M26" i="5"/>
  <c r="W25" i="5"/>
  <c r="X25" i="5" s="1"/>
  <c r="R24" i="5"/>
  <c r="Y24" i="5" s="1"/>
  <c r="Z24" i="5" s="1"/>
  <c r="U23" i="3"/>
  <c r="T24" i="3"/>
  <c r="U24" i="3" s="1"/>
  <c r="R22" i="3"/>
  <c r="Y22" i="3" s="1"/>
  <c r="Z22" i="3" s="1"/>
  <c r="W23" i="3"/>
  <c r="X23" i="3" s="1"/>
  <c r="L23" i="3"/>
  <c r="D24" i="3"/>
  <c r="E24" i="3"/>
  <c r="M24" i="3"/>
  <c r="N24" i="3"/>
  <c r="S24" i="3" s="1"/>
  <c r="D23" i="4"/>
  <c r="F24" i="4"/>
  <c r="E23" i="4"/>
  <c r="M22" i="4"/>
  <c r="S20" i="4"/>
  <c r="T20" i="4" s="1"/>
  <c r="U19" i="4"/>
  <c r="L24" i="3" l="1"/>
  <c r="U26" i="5"/>
  <c r="R25" i="5"/>
  <c r="Y25" i="5" s="1"/>
  <c r="Z25" i="5" s="1"/>
  <c r="W26" i="5"/>
  <c r="X26" i="5" s="1"/>
  <c r="D27" i="5"/>
  <c r="E27" i="5"/>
  <c r="M27" i="5"/>
  <c r="N27" i="5"/>
  <c r="S27" i="5" s="1"/>
  <c r="T27" i="5" s="1"/>
  <c r="V28" i="5"/>
  <c r="L26" i="5"/>
  <c r="W24" i="3"/>
  <c r="X24" i="3" s="1"/>
  <c r="R24" i="3" s="1"/>
  <c r="R23" i="3"/>
  <c r="Y23" i="3" s="1"/>
  <c r="Z23" i="3" s="1"/>
  <c r="F25" i="4"/>
  <c r="D24" i="4"/>
  <c r="E24" i="4"/>
  <c r="M23" i="4"/>
  <c r="S21" i="4"/>
  <c r="T21" i="4" s="1"/>
  <c r="U20" i="4"/>
  <c r="Y24" i="3" l="1"/>
  <c r="Z24" i="3" s="1"/>
  <c r="U27" i="5"/>
  <c r="R26" i="5"/>
  <c r="Y26" i="5" s="1"/>
  <c r="Z26" i="5" s="1"/>
  <c r="W27" i="5"/>
  <c r="X27" i="5" s="1"/>
  <c r="D28" i="5"/>
  <c r="N28" i="5"/>
  <c r="S28" i="5" s="1"/>
  <c r="T28" i="5" s="1"/>
  <c r="V29" i="5"/>
  <c r="M28" i="5"/>
  <c r="E28" i="5"/>
  <c r="L27" i="5"/>
  <c r="D25" i="4"/>
  <c r="E25" i="4"/>
  <c r="F26" i="4"/>
  <c r="M24" i="4"/>
  <c r="S22" i="4"/>
  <c r="T22" i="4" s="1"/>
  <c r="U21" i="4"/>
  <c r="U28" i="5" l="1"/>
  <c r="R27" i="5"/>
  <c r="Y27" i="5" s="1"/>
  <c r="Z27" i="5" s="1"/>
  <c r="W28" i="5"/>
  <c r="X28" i="5" s="1"/>
  <c r="N29" i="5"/>
  <c r="S29" i="5" s="1"/>
  <c r="T29" i="5" s="1"/>
  <c r="U29" i="5" s="1"/>
  <c r="E29" i="5"/>
  <c r="D29" i="5"/>
  <c r="M29" i="5"/>
  <c r="L28" i="5"/>
  <c r="F27" i="4"/>
  <c r="D26" i="4"/>
  <c r="E26" i="4"/>
  <c r="M25" i="4"/>
  <c r="U22" i="4"/>
  <c r="S23" i="4" s="1"/>
  <c r="T23" i="4" s="1"/>
  <c r="W29" i="5" l="1"/>
  <c r="X29" i="5" s="1"/>
  <c r="R29" i="5" s="1"/>
  <c r="R28" i="5"/>
  <c r="Y28" i="5" s="1"/>
  <c r="Z28" i="5" s="1"/>
  <c r="L29" i="5"/>
  <c r="D27" i="4"/>
  <c r="F28" i="4"/>
  <c r="E27" i="4"/>
  <c r="M26" i="4"/>
  <c r="U23" i="4"/>
  <c r="S24" i="4" s="1"/>
  <c r="T24" i="4" s="1"/>
  <c r="Y29" i="5" l="1"/>
  <c r="Z29" i="5" s="1"/>
  <c r="F29" i="4"/>
  <c r="D28" i="4"/>
  <c r="E28" i="4"/>
  <c r="M27" i="4"/>
  <c r="U24" i="4"/>
  <c r="S25" i="4"/>
  <c r="T25" i="4" s="1"/>
  <c r="D29" i="4" l="1"/>
  <c r="E29" i="4"/>
  <c r="M28" i="4"/>
  <c r="U25" i="4"/>
  <c r="S26" i="4" s="1"/>
  <c r="T26" i="4" s="1"/>
  <c r="M29" i="4" l="1"/>
  <c r="U26" i="4"/>
  <c r="S27" i="4" s="1"/>
  <c r="T27" i="4" s="1"/>
  <c r="U27" i="4" l="1"/>
  <c r="S28" i="4" s="1"/>
  <c r="T28" i="4" s="1"/>
  <c r="U28" i="4" l="1"/>
  <c r="S29" i="4" s="1"/>
  <c r="T29" i="4" s="1"/>
  <c r="U29" i="4" s="1"/>
</calcChain>
</file>

<file path=xl/comments1.xml><?xml version="1.0" encoding="utf-8"?>
<comments xmlns="http://schemas.openxmlformats.org/spreadsheetml/2006/main">
  <authors>
    <author>U4302</author>
  </authors>
  <commentList>
    <comment ref="E7" authorId="0" shapeId="0">
      <text>
        <r>
          <rPr>
            <sz val="11"/>
            <rFont val="ＭＳ Ｐゴシック"/>
            <family val="3"/>
            <charset val="128"/>
          </rPr>
          <t>取得価額は消費税込みの金額。下取りがある場合は下取り前の金額。</t>
        </r>
      </text>
    </comment>
    <comment ref="F7" authorId="0" shapeId="0">
      <text>
        <r>
          <rPr>
            <sz val="11"/>
            <rFont val="ＭＳ Ｐゴシック"/>
            <family val="3"/>
            <charset val="128"/>
          </rPr>
          <t>取得価額の９０％の金額。
（残存価額１０％を引きます。）
※平成１９年４月１日以降に取得した場合は、取得価額と同額になります。(H19税制改正)</t>
        </r>
      </text>
    </comment>
    <comment ref="I7" authorId="0" shapeId="0">
      <text>
        <r>
          <rPr>
            <sz val="11"/>
            <rFont val="ＭＳ Ｐゴシック"/>
            <family val="3"/>
            <charset val="128"/>
          </rPr>
          <t>主な資産の耐用年数と償却率
H21年分からは農業用機械の耐用年数が一律７年（新0.143旧0.142）になります。(H20税制改正)
軽トラック　　　　 4年（0.250）
普通トラック　　　5年（0.200）
旧耐用年数（H20年まで）
耕うん機　　　　　5年（0.200）
乗用トラクター　　8年（0.125）
〃アタッチメント　5年（0.200）
田植機　　　　　　5年（0.200）
コンバイン　　　　5年（0.200）
バインダー　　　 5年（0.200）
脱穀機　　　　　　8年（0.125）
もみすり機　　　　8年（0.125）
乾燥機　　　　　　8年（0.125）
精米機　　　　　10年（0.100）
中古の場合は別途計算方法があります。</t>
        </r>
      </text>
    </comment>
    <comment ref="K7" authorId="0" shapeId="0">
      <text>
        <r>
          <rPr>
            <sz val="11"/>
            <rFont val="ＭＳ Ｐゴシック"/>
            <family val="3"/>
            <charset val="128"/>
          </rPr>
          <t>購入した年は月割計算になります。
例：４月に購入
　　　　↓
償却期間　９／１２
譲渡又は除却した年も月割計算をします。</t>
        </r>
      </text>
    </comment>
    <comment ref="P7" authorId="0" shapeId="0">
      <text>
        <r>
          <rPr>
            <sz val="11"/>
            <rFont val="ＭＳ Ｐゴシック"/>
            <family val="3"/>
            <charset val="128"/>
          </rPr>
          <t>１年目の行は㋑の金額から㋭の金額を差し引いた金額。
２年目以降の行は前年の未償却残高から㋭の金額を差し引いた金額。（㋑取得価額－償却費累計）</t>
        </r>
      </text>
    </comment>
    <comment ref="Q7" authorId="0" shapeId="0">
      <text>
        <r>
          <rPr>
            <sz val="11"/>
            <rFont val="ＭＳ Ｐゴシック"/>
            <family val="3"/>
            <charset val="128"/>
          </rPr>
          <t>平成１９年４月１日以降に取得したものは耐用年数経過時点において１円まで償却することとされました。</t>
        </r>
      </text>
    </comment>
    <comment ref="M24" authorId="0" shapeId="0">
      <text>
        <r>
          <rPr>
            <sz val="11"/>
            <rFont val="ＭＳ Ｐゴシック"/>
            <family val="3"/>
            <charset val="128"/>
          </rPr>
          <t>（前年の償却費累計額＋㋭の金額）が償却可能限度額（㋑取得価額の９５％）を超える場合は、その超える部分の金額を㋭の金額から差し引きます。
残った５％の金額（残存価額）は除却した年に「固定資産除却損」として必要経費に算入してください。
※償却可能限度額に達した年の翌年分以後に1/5ずつ１円になるまで償却します。(H20年分以後に適用)</t>
        </r>
      </text>
    </comment>
  </commentList>
</comments>
</file>

<file path=xl/comments2.xml><?xml version="1.0" encoding="utf-8"?>
<comments xmlns="http://schemas.openxmlformats.org/spreadsheetml/2006/main">
  <authors>
    <author>U4302</author>
  </authors>
  <commentList>
    <comment ref="H8" authorId="0" shapeId="0">
      <text>
        <r>
          <rPr>
            <sz val="11"/>
            <rFont val="ＭＳ Ｐゴシック"/>
            <family val="3"/>
            <charset val="128"/>
          </rPr>
          <t>取得価額は消費税込みの金額。下取りがある場合は下取り前の金額。</t>
        </r>
      </text>
    </comment>
    <comment ref="I8" authorId="0" shapeId="0">
      <text>
        <r>
          <rPr>
            <sz val="11"/>
            <rFont val="ＭＳ Ｐゴシック"/>
            <family val="3"/>
            <charset val="128"/>
          </rPr>
          <t>取得価額の９０％の金額。
（残存価額１０％を引きます。）
※平成１９年４月１日以降に取得した場合は、取得価額と同額になります。(H19税制改正)</t>
        </r>
      </text>
    </comment>
    <comment ref="M8" authorId="0" shapeId="0">
      <text>
        <r>
          <rPr>
            <sz val="11"/>
            <rFont val="ＭＳ Ｐゴシック"/>
            <family val="3"/>
            <charset val="128"/>
          </rPr>
          <t>主な資産の耐用年数と償却率
H21年分からは農業用機械の耐用年数が一律７年（新0.143旧0.142）になります。(H20税制改正)
軽トラック　　　　 4年（0.250）
普通トラック　　　5年（0.200）
旧耐用年数（H20年まで）
耕うん機　　　　　5年（0.200）
乗用トラクター　　8年（0.125）
〃アタッチメント　5年（0.200）
田植機　　　　　　5年（0.200）
コンバイン　　　　5年（0.200）
バインダー　　　 5年（0.200）
脱穀機　　　　　　8年（0.125）
もみすり機　　　　8年（0.125）
乾燥機　　　　　　8年（0.125）
精米機　　　　　10年（0.100）
中古の場合は別途計算方法があります。</t>
        </r>
      </text>
    </comment>
    <comment ref="O8" authorId="0" shapeId="0">
      <text>
        <r>
          <rPr>
            <sz val="11"/>
            <rFont val="ＭＳ Ｐゴシック"/>
            <family val="3"/>
            <charset val="128"/>
          </rPr>
          <t>購入した年は月割計算になります。
例：４月に購入
　　　　↓
償却期間　９／１２
譲渡又は除却した年も月割計算をします。</t>
        </r>
      </text>
    </comment>
    <comment ref="Z8" authorId="0" shapeId="0">
      <text>
        <r>
          <rPr>
            <sz val="11"/>
            <rFont val="ＭＳ Ｐゴシック"/>
            <family val="3"/>
            <charset val="128"/>
          </rPr>
          <t>１年目の行は㋑の金額から㋭の金額を差し引いた金額。
２年目以降の行は前年の未償却残高から㋭の金額を差し引いた金額。（㋑取得価額－償却費累計）</t>
        </r>
      </text>
    </comment>
    <comment ref="AA8" authorId="0" shapeId="0">
      <text>
        <r>
          <rPr>
            <sz val="11"/>
            <rFont val="ＭＳ Ｐゴシック"/>
            <family val="3"/>
            <charset val="128"/>
          </rPr>
          <t>平成１９年４月１日以降に取得したものは耐用年数経過時点において１円まで償却することとされました。</t>
        </r>
      </text>
    </comment>
    <comment ref="Q25" authorId="0" shapeId="0">
      <text>
        <r>
          <rPr>
            <sz val="11"/>
            <rFont val="ＭＳ Ｐゴシック"/>
            <family val="3"/>
            <charset val="128"/>
          </rPr>
          <t>（前年の償却費累計額＋㋭の金額）が償却可能限度額（㋑取得価額の９５％）を超える場合は、その超える部分の金額を㋭の金額から差し引きます。
残った５％の金額（残存価額）は除却した年に「固定資産除却損」として必要経費に算入してください。
※償却可能限度額に達した年の翌年分以後に1/5ずつ１円になるまで償却します。(H20年分以後に適用)</t>
        </r>
      </text>
    </comment>
  </commentList>
</comments>
</file>

<file path=xl/comments3.xml><?xml version="1.0" encoding="utf-8"?>
<comments xmlns="http://schemas.openxmlformats.org/spreadsheetml/2006/main">
  <authors>
    <author>U4302</author>
  </authors>
  <commentList>
    <comment ref="I8" authorId="0" shapeId="0">
      <text>
        <r>
          <rPr>
            <sz val="11"/>
            <rFont val="ＭＳ Ｐゴシック"/>
            <family val="3"/>
            <charset val="128"/>
          </rPr>
          <t>取得価額は消費税込みの金額。下取りがある場合は下取り前の金額。</t>
        </r>
      </text>
    </comment>
    <comment ref="J8" authorId="0" shapeId="0">
      <text>
        <r>
          <rPr>
            <sz val="11"/>
            <rFont val="ＭＳ Ｐゴシック"/>
            <family val="3"/>
            <charset val="128"/>
          </rPr>
          <t>取得価額の９０％の金額。
（残存価額１０％を引きます。）
※平成１９年４月１日以降に取得した場合は、取得価額と同額になります。(H19税制改正)</t>
        </r>
      </text>
    </comment>
    <comment ref="P8" authorId="0" shapeId="0">
      <text>
        <r>
          <rPr>
            <sz val="11"/>
            <rFont val="ＭＳ Ｐゴシック"/>
            <family val="3"/>
            <charset val="128"/>
          </rPr>
          <t>購入した年は月割計算になります。
例：４月に購入
　　　　↓
償却期間　９／１２
譲渡又は除却した年も月割計算をします。</t>
        </r>
      </text>
    </comment>
    <comment ref="U8" authorId="0" shapeId="0">
      <text>
        <r>
          <rPr>
            <sz val="11"/>
            <rFont val="ＭＳ Ｐゴシック"/>
            <family val="3"/>
            <charset val="128"/>
          </rPr>
          <t>㋦未償却残高の１年目の行は㋑の金額から㋭の金額を差し引いた金額。
２年目以降の行は前年の未償却残高から当該年の㋭の金額を差し引いた金額。（㋑取得価額－償却費累計額　と同じになる。）</t>
        </r>
      </text>
    </comment>
    <comment ref="R29" authorId="0" shapeId="0">
      <text>
        <r>
          <rPr>
            <sz val="11"/>
            <rFont val="ＭＳ Ｐゴシック"/>
            <family val="3"/>
            <charset val="128"/>
          </rPr>
          <t>（前年の償却費累計額＋㋭の金額）が償却可能限度額（㋑取得価額の９５％）を超える場合は、その超える部分の金額を㋭の金額から差し引きます。
残った５％の金額（残存価額）は除却した年に「固定資産除却損」として必要経費に算入してください。
※償却可能限度額に達した年の翌年分以後に1/5ずつ１円になるまで償却します。(H20年分以後に適用)</t>
        </r>
      </text>
    </comment>
  </commentList>
</comments>
</file>

<file path=xl/comments4.xml><?xml version="1.0" encoding="utf-8"?>
<comments xmlns="http://schemas.openxmlformats.org/spreadsheetml/2006/main">
  <authors>
    <author>U4302</author>
  </authors>
  <commentList>
    <comment ref="H8" authorId="0" shapeId="0">
      <text>
        <r>
          <rPr>
            <sz val="11"/>
            <rFont val="ＭＳ Ｐゴシック"/>
            <family val="3"/>
            <charset val="128"/>
          </rPr>
          <t>取得価額は消費税込みの金額。下取りがある場合は下取り前の金額。</t>
        </r>
      </text>
    </comment>
    <comment ref="I8" authorId="0" shapeId="0">
      <text>
        <r>
          <rPr>
            <sz val="11"/>
            <rFont val="ＭＳ Ｐゴシック"/>
            <family val="3"/>
            <charset val="128"/>
          </rPr>
          <t>取得価額の９０％の金額。
（残存価額１０％を引きます。）
※平成１９年４月１日以降に取得した場合は、取得価額と同額になります。(H19税制改正)</t>
        </r>
      </text>
    </comment>
    <comment ref="M8" authorId="0" shapeId="0">
      <text>
        <r>
          <rPr>
            <sz val="11"/>
            <rFont val="ＭＳ Ｐゴシック"/>
            <family val="3"/>
            <charset val="128"/>
          </rPr>
          <t>主な資産の耐用年数
主としてコンクリート造、れんが造、石造又はブロック造のもの
　果樹棚又はホップ棚　14年
　その他　　　　　　　　　　17年
主として金属造のもの　14年
主として木造のもの　　　5年
土管を主としたもの　　　10年
その他のもの　　　　　　　8年</t>
        </r>
      </text>
    </comment>
    <comment ref="O8" authorId="0" shapeId="0">
      <text>
        <r>
          <rPr>
            <sz val="11"/>
            <rFont val="ＭＳ Ｐゴシック"/>
            <family val="3"/>
            <charset val="128"/>
          </rPr>
          <t>購入した年は月割計算になります。
例：４月に購入
　　　　↓
償却期間　９／１２
譲渡又は除却した年も月割計算をします。</t>
        </r>
      </text>
    </comment>
    <comment ref="Z8" authorId="0" shapeId="0">
      <text>
        <r>
          <rPr>
            <sz val="11"/>
            <rFont val="ＭＳ Ｐゴシック"/>
            <family val="3"/>
            <charset val="128"/>
          </rPr>
          <t>１年目の行は㋑の金額から㋭の金額を差し引いた金額。
２年目以降の行は前年の未償却残高から㋭の金額を差し引いた金額。（㋑取得価額－償却費累計）</t>
        </r>
      </text>
    </comment>
    <comment ref="AA8" authorId="0" shapeId="0">
      <text>
        <r>
          <rPr>
            <sz val="11"/>
            <rFont val="ＭＳ Ｐゴシック"/>
            <family val="3"/>
            <charset val="128"/>
          </rPr>
          <t>平成１９年４月１日以降に取得したものは耐用年数経過時点において１円まで償却することとされました。</t>
        </r>
      </text>
    </comment>
    <comment ref="Q29" authorId="0" shapeId="0">
      <text>
        <r>
          <rPr>
            <sz val="11"/>
            <rFont val="ＭＳ Ｐゴシック"/>
            <family val="3"/>
            <charset val="128"/>
          </rPr>
          <t>（前年の償却費累計額＋㋭の金額）が償却可能限度額（㋑取得価額の９５％）を超える場合は、その超える部分の金額を㋭の金額から差し引きます。
残った５％の金額（残存価額）は除却した年に「固定資産除却損」として必要経費に算入してください。
※償却可能限度額に達した年の翌年分以後に1/5ずつ１円になるまで償却します。(H20年分以後に適用)</t>
        </r>
      </text>
    </comment>
  </commentList>
</comments>
</file>

<file path=xl/sharedStrings.xml><?xml version="1.0" encoding="utf-8"?>
<sst xmlns="http://schemas.openxmlformats.org/spreadsheetml/2006/main" count="329" uniqueCount="130">
  <si>
    <t>減 価 償 却 費 の 算 出 表</t>
    <rPh sb="0" eb="1">
      <t>ゲン</t>
    </rPh>
    <rPh sb="2" eb="3">
      <t>アタイ</t>
    </rPh>
    <rPh sb="4" eb="5">
      <t>ツグナ</t>
    </rPh>
    <rPh sb="6" eb="7">
      <t>キャク</t>
    </rPh>
    <rPh sb="8" eb="9">
      <t>ヒ</t>
    </rPh>
    <rPh sb="12" eb="13">
      <t>サン</t>
    </rPh>
    <rPh sb="14" eb="15">
      <t>デ</t>
    </rPh>
    <rPh sb="16" eb="17">
      <t>ヒョウ</t>
    </rPh>
    <phoneticPr fontId="2"/>
  </si>
  <si>
    <t>(金額欄の単位：円)</t>
    <rPh sb="1" eb="3">
      <t>キンガク</t>
    </rPh>
    <rPh sb="3" eb="4">
      <t>ラン</t>
    </rPh>
    <rPh sb="5" eb="7">
      <t>タンイ</t>
    </rPh>
    <rPh sb="8" eb="9">
      <t>エン</t>
    </rPh>
    <phoneticPr fontId="2"/>
  </si>
  <si>
    <t>㋑</t>
    <phoneticPr fontId="2"/>
  </si>
  <si>
    <t>㋺</t>
    <phoneticPr fontId="2"/>
  </si>
  <si>
    <t>㋩</t>
    <phoneticPr fontId="2"/>
  </si>
  <si>
    <t>㋥</t>
    <phoneticPr fontId="2"/>
  </si>
  <si>
    <t>㋭</t>
    <phoneticPr fontId="2"/>
  </si>
  <si>
    <t>㋦</t>
    <phoneticPr fontId="2"/>
  </si>
  <si>
    <t>年分</t>
    <rPh sb="0" eb="1">
      <t>トシ</t>
    </rPh>
    <rPh sb="1" eb="2">
      <t>フン</t>
    </rPh>
    <phoneticPr fontId="2"/>
  </si>
  <si>
    <t>名称</t>
    <rPh sb="0" eb="2">
      <t>メイショウ</t>
    </rPh>
    <phoneticPr fontId="2"/>
  </si>
  <si>
    <t>数量</t>
    <rPh sb="0" eb="2">
      <t>スウリョウ</t>
    </rPh>
    <phoneticPr fontId="2"/>
  </si>
  <si>
    <t>取得年月</t>
    <rPh sb="0" eb="2">
      <t>シュトク</t>
    </rPh>
    <rPh sb="2" eb="4">
      <t>ネンゲツ</t>
    </rPh>
    <phoneticPr fontId="2"/>
  </si>
  <si>
    <t>取得価額</t>
    <rPh sb="0" eb="2">
      <t>シュトク</t>
    </rPh>
    <rPh sb="2" eb="4">
      <t>カガク</t>
    </rPh>
    <phoneticPr fontId="2"/>
  </si>
  <si>
    <t>償却の基礎
になる金額</t>
    <rPh sb="0" eb="2">
      <t>ショウキャク</t>
    </rPh>
    <rPh sb="3" eb="5">
      <t>キソ</t>
    </rPh>
    <rPh sb="9" eb="11">
      <t>キンガク</t>
    </rPh>
    <phoneticPr fontId="2"/>
  </si>
  <si>
    <t>償却方法</t>
    <rPh sb="0" eb="2">
      <t>ショウキャク</t>
    </rPh>
    <rPh sb="2" eb="4">
      <t>ホウホウ</t>
    </rPh>
    <phoneticPr fontId="2"/>
  </si>
  <si>
    <t>耐用
年数</t>
    <rPh sb="0" eb="2">
      <t>タイヨウ</t>
    </rPh>
    <rPh sb="3" eb="5">
      <t>ネンスウ</t>
    </rPh>
    <phoneticPr fontId="2"/>
  </si>
  <si>
    <t>償却率</t>
    <rPh sb="0" eb="3">
      <t>ショウキャクリツ</t>
    </rPh>
    <phoneticPr fontId="2"/>
  </si>
  <si>
    <t>当年中の
償却期間</t>
    <rPh sb="0" eb="1">
      <t>トウ</t>
    </rPh>
    <rPh sb="1" eb="3">
      <t>ネンジュウ</t>
    </rPh>
    <rPh sb="5" eb="7">
      <t>ショウキャク</t>
    </rPh>
    <rPh sb="7" eb="8">
      <t>キ</t>
    </rPh>
    <rPh sb="8" eb="9">
      <t>アイダ</t>
    </rPh>
    <phoneticPr fontId="2"/>
  </si>
  <si>
    <t>当年分の
償却費
㋺×㋩×㋥</t>
    <rPh sb="0" eb="2">
      <t>トウネン</t>
    </rPh>
    <rPh sb="2" eb="3">
      <t>ブン</t>
    </rPh>
    <rPh sb="5" eb="8">
      <t>ショウキャクヒ</t>
    </rPh>
    <phoneticPr fontId="2"/>
  </si>
  <si>
    <t>償却費累計額</t>
    <rPh sb="0" eb="3">
      <t>ショウキャクヒ</t>
    </rPh>
    <rPh sb="3" eb="5">
      <t>ルイケイ</t>
    </rPh>
    <rPh sb="5" eb="6">
      <t>ガク</t>
    </rPh>
    <phoneticPr fontId="2"/>
  </si>
  <si>
    <t>未償却残高
(期末残高)</t>
    <rPh sb="0" eb="3">
      <t>ミショウキャク</t>
    </rPh>
    <rPh sb="3" eb="5">
      <t>ザンダカ</t>
    </rPh>
    <rPh sb="7" eb="9">
      <t>キマツ</t>
    </rPh>
    <rPh sb="9" eb="11">
      <t>ザンダカ</t>
    </rPh>
    <phoneticPr fontId="2"/>
  </si>
  <si>
    <t>年</t>
    <rPh sb="0" eb="1">
      <t>ネン</t>
    </rPh>
    <phoneticPr fontId="2"/>
  </si>
  <si>
    <t>月</t>
    <rPh sb="0" eb="1">
      <t>ツキ</t>
    </rPh>
    <phoneticPr fontId="2"/>
  </si>
  <si>
    <t>/</t>
    <phoneticPr fontId="2"/>
  </si>
  <si>
    <t>/</t>
    <phoneticPr fontId="2"/>
  </si>
  <si>
    <t>法定耐用年数</t>
    <rPh sb="0" eb="2">
      <t>ホウテイ</t>
    </rPh>
    <rPh sb="2" eb="4">
      <t>タイヨウ</t>
    </rPh>
    <rPh sb="4" eb="6">
      <t>ネンスウ</t>
    </rPh>
    <phoneticPr fontId="2"/>
  </si>
  <si>
    <t>耕うん機</t>
    <rPh sb="0" eb="4">
      <t>コウウンキ</t>
    </rPh>
    <phoneticPr fontId="2"/>
  </si>
  <si>
    <t>乗用トラクター</t>
    <rPh sb="0" eb="2">
      <t>ジョウヨウ</t>
    </rPh>
    <phoneticPr fontId="2"/>
  </si>
  <si>
    <t>田植機</t>
    <rPh sb="0" eb="2">
      <t>タウエ</t>
    </rPh>
    <rPh sb="2" eb="3">
      <t>キ</t>
    </rPh>
    <phoneticPr fontId="2"/>
  </si>
  <si>
    <t>脱穀機</t>
    <rPh sb="0" eb="3">
      <t>ダッコクキ</t>
    </rPh>
    <phoneticPr fontId="2"/>
  </si>
  <si>
    <t>もみすり機</t>
    <rPh sb="4" eb="5">
      <t>キ</t>
    </rPh>
    <phoneticPr fontId="2"/>
  </si>
  <si>
    <t>乾燥機</t>
    <rPh sb="0" eb="3">
      <t>カンソウキ</t>
    </rPh>
    <phoneticPr fontId="2"/>
  </si>
  <si>
    <t>精米機</t>
    <rPh sb="0" eb="3">
      <t>セイマイキ</t>
    </rPh>
    <phoneticPr fontId="2"/>
  </si>
  <si>
    <t>軽トラック</t>
    <rPh sb="0" eb="1">
      <t>ケイ</t>
    </rPh>
    <phoneticPr fontId="2"/>
  </si>
  <si>
    <t>普通トラック</t>
    <rPh sb="0" eb="2">
      <t>フツウ</t>
    </rPh>
    <phoneticPr fontId="2"/>
  </si>
  <si>
    <t>アタッチメント</t>
    <phoneticPr fontId="2"/>
  </si>
  <si>
    <t>バインダー</t>
    <phoneticPr fontId="2"/>
  </si>
  <si>
    <t>減 価 償 却 費 の 算 出 表 (農機具、農用車両)</t>
    <rPh sb="0" eb="1">
      <t>ゲン</t>
    </rPh>
    <rPh sb="2" eb="3">
      <t>アタイ</t>
    </rPh>
    <rPh sb="4" eb="5">
      <t>ツグナ</t>
    </rPh>
    <rPh sb="6" eb="7">
      <t>キャク</t>
    </rPh>
    <rPh sb="8" eb="9">
      <t>ヒ</t>
    </rPh>
    <rPh sb="12" eb="13">
      <t>サン</t>
    </rPh>
    <rPh sb="14" eb="15">
      <t>デ</t>
    </rPh>
    <rPh sb="16" eb="17">
      <t>ヒョウ</t>
    </rPh>
    <rPh sb="19" eb="22">
      <t>ノウキグ</t>
    </rPh>
    <rPh sb="23" eb="24">
      <t>ノウ</t>
    </rPh>
    <rPh sb="24" eb="25">
      <t>ヨウ</t>
    </rPh>
    <rPh sb="25" eb="27">
      <t>シャリョウ</t>
    </rPh>
    <phoneticPr fontId="2"/>
  </si>
  <si>
    <t>/</t>
    <phoneticPr fontId="2"/>
  </si>
  <si>
    <t>/</t>
    <phoneticPr fontId="2"/>
  </si>
  <si>
    <t>作業所（木造）</t>
    <rPh sb="0" eb="2">
      <t>サギョウ</t>
    </rPh>
    <rPh sb="2" eb="3">
      <t>ジョ</t>
    </rPh>
    <rPh sb="4" eb="6">
      <t>モクゾウ</t>
    </rPh>
    <phoneticPr fontId="2"/>
  </si>
  <si>
    <t>格納庫（木造）</t>
    <rPh sb="0" eb="3">
      <t>カクノウコ</t>
    </rPh>
    <rPh sb="4" eb="6">
      <t>モクゾウ</t>
    </rPh>
    <phoneticPr fontId="2"/>
  </si>
  <si>
    <t>倉庫（木造）</t>
    <rPh sb="0" eb="2">
      <t>ソウコ</t>
    </rPh>
    <rPh sb="3" eb="5">
      <t>モクゾウ</t>
    </rPh>
    <phoneticPr fontId="2"/>
  </si>
  <si>
    <t>車庫（木造）</t>
    <rPh sb="0" eb="2">
      <t>シャコ</t>
    </rPh>
    <rPh sb="3" eb="5">
      <t>モクゾウ</t>
    </rPh>
    <phoneticPr fontId="2"/>
  </si>
  <si>
    <t>作業所（金属造り）</t>
    <rPh sb="0" eb="2">
      <t>サギョウ</t>
    </rPh>
    <rPh sb="2" eb="3">
      <t>ジョ</t>
    </rPh>
    <rPh sb="4" eb="6">
      <t>キンゾク</t>
    </rPh>
    <rPh sb="6" eb="7">
      <t>ヅク</t>
    </rPh>
    <phoneticPr fontId="2"/>
  </si>
  <si>
    <t>倉庫（金属造り）</t>
    <rPh sb="0" eb="2">
      <t>ソウコ</t>
    </rPh>
    <phoneticPr fontId="2"/>
  </si>
  <si>
    <t>格納庫（金属造り）</t>
    <rPh sb="0" eb="3">
      <t>カクノウコ</t>
    </rPh>
    <phoneticPr fontId="2"/>
  </si>
  <si>
    <t>車庫（金属造り）</t>
    <rPh sb="0" eb="2">
      <t>シャコ</t>
    </rPh>
    <phoneticPr fontId="2"/>
  </si>
  <si>
    <t>/</t>
  </si>
  <si>
    <t>償却可能限度額
（㋑×９５％）
又は（㋑－１）</t>
    <rPh sb="0" eb="2">
      <t>ショウキャク</t>
    </rPh>
    <rPh sb="2" eb="4">
      <t>カノウ</t>
    </rPh>
    <rPh sb="4" eb="6">
      <t>ゲンド</t>
    </rPh>
    <rPh sb="6" eb="7">
      <t>ガク</t>
    </rPh>
    <rPh sb="16" eb="17">
      <t>マタ</t>
    </rPh>
    <phoneticPr fontId="2"/>
  </si>
  <si>
    <t>/</t>
    <phoneticPr fontId="2"/>
  </si>
  <si>
    <t>旧定額
定額</t>
    <rPh sb="1" eb="3">
      <t>テイガク</t>
    </rPh>
    <rPh sb="4" eb="6">
      <t>テイガク</t>
    </rPh>
    <phoneticPr fontId="2"/>
  </si>
  <si>
    <t>法定耐用年数H21～</t>
    <rPh sb="0" eb="2">
      <t>ホウテイ</t>
    </rPh>
    <rPh sb="2" eb="4">
      <t>タイヨウ</t>
    </rPh>
    <rPh sb="4" eb="6">
      <t>ネンスウ</t>
    </rPh>
    <phoneticPr fontId="2"/>
  </si>
  <si>
    <t>償却費</t>
    <rPh sb="0" eb="3">
      <t>ショウキャクヒ</t>
    </rPh>
    <phoneticPr fontId="2"/>
  </si>
  <si>
    <t>償却費累計</t>
    <rPh sb="0" eb="3">
      <t>ショウキャクヒ</t>
    </rPh>
    <rPh sb="3" eb="5">
      <t>ルイケイ</t>
    </rPh>
    <phoneticPr fontId="2"/>
  </si>
  <si>
    <t>未償却残高</t>
    <rPh sb="0" eb="3">
      <t>ミショウキャク</t>
    </rPh>
    <rPh sb="3" eb="5">
      <t>ザンダカ</t>
    </rPh>
    <phoneticPr fontId="2"/>
  </si>
  <si>
    <t>均等償却額</t>
    <rPh sb="0" eb="2">
      <t>キントウ</t>
    </rPh>
    <rPh sb="2" eb="5">
      <t>ショウキャクガク</t>
    </rPh>
    <phoneticPr fontId="2"/>
  </si>
  <si>
    <t>5%分の未償却残高</t>
    <rPh sb="2" eb="3">
      <t>ブン</t>
    </rPh>
    <rPh sb="4" eb="7">
      <t>ミショウキャク</t>
    </rPh>
    <rPh sb="7" eb="9">
      <t>ザンダカ</t>
    </rPh>
    <phoneticPr fontId="2"/>
  </si>
  <si>
    <t>米保冷庫</t>
    <rPh sb="0" eb="1">
      <t>コメ</t>
    </rPh>
    <rPh sb="1" eb="3">
      <t>ホレイ</t>
    </rPh>
    <rPh sb="3" eb="4">
      <t>コ</t>
    </rPh>
    <phoneticPr fontId="2"/>
  </si>
  <si>
    <t>農用井戸（ビニール）</t>
    <rPh sb="0" eb="1">
      <t>ノウ</t>
    </rPh>
    <rPh sb="1" eb="2">
      <t>ヨウ</t>
    </rPh>
    <rPh sb="2" eb="4">
      <t>イド</t>
    </rPh>
    <phoneticPr fontId="2"/>
  </si>
  <si>
    <t>コンバイン（その他）</t>
    <rPh sb="8" eb="9">
      <t>タ</t>
    </rPh>
    <phoneticPr fontId="2"/>
  </si>
  <si>
    <t>コンバイン（自脱型）</t>
    <rPh sb="6" eb="7">
      <t>ジ</t>
    </rPh>
    <rPh sb="7" eb="8">
      <t>ダツ</t>
    </rPh>
    <rPh sb="8" eb="9">
      <t>ガタ</t>
    </rPh>
    <phoneticPr fontId="2"/>
  </si>
  <si>
    <t>農用井戸（コンクリート）</t>
    <rPh sb="0" eb="1">
      <t>ノウ</t>
    </rPh>
    <rPh sb="1" eb="2">
      <t>ヨウ</t>
    </rPh>
    <rPh sb="2" eb="4">
      <t>イド</t>
    </rPh>
    <phoneticPr fontId="2"/>
  </si>
  <si>
    <t>農用井戸（金属）</t>
    <rPh sb="0" eb="1">
      <t>ノウ</t>
    </rPh>
    <rPh sb="1" eb="2">
      <t>ヨウ</t>
    </rPh>
    <rPh sb="2" eb="4">
      <t>イド</t>
    </rPh>
    <rPh sb="5" eb="7">
      <t>キンゾク</t>
    </rPh>
    <phoneticPr fontId="2"/>
  </si>
  <si>
    <t>/</t>
    <phoneticPr fontId="2"/>
  </si>
  <si>
    <t>/</t>
    <phoneticPr fontId="2"/>
  </si>
  <si>
    <t>減 価 償 却 費 の 算 出 表 (構築物)</t>
    <rPh sb="0" eb="1">
      <t>ゲン</t>
    </rPh>
    <rPh sb="2" eb="3">
      <t>アタイ</t>
    </rPh>
    <rPh sb="4" eb="5">
      <t>ツグナ</t>
    </rPh>
    <rPh sb="6" eb="7">
      <t>キャク</t>
    </rPh>
    <rPh sb="8" eb="9">
      <t>ヒ</t>
    </rPh>
    <rPh sb="12" eb="13">
      <t>サン</t>
    </rPh>
    <rPh sb="14" eb="15">
      <t>デ</t>
    </rPh>
    <rPh sb="16" eb="17">
      <t>ヒョウ</t>
    </rPh>
    <rPh sb="19" eb="22">
      <t>コウチクブツ</t>
    </rPh>
    <phoneticPr fontId="2"/>
  </si>
  <si>
    <t>その他構築物（８年）</t>
    <rPh sb="2" eb="3">
      <t>タ</t>
    </rPh>
    <rPh sb="3" eb="6">
      <t>コウチクブツ</t>
    </rPh>
    <rPh sb="8" eb="9">
      <t>ネン</t>
    </rPh>
    <phoneticPr fontId="2"/>
  </si>
  <si>
    <t>木造構築物（５年）</t>
    <rPh sb="0" eb="2">
      <t>モクゾウ</t>
    </rPh>
    <rPh sb="2" eb="5">
      <t>コウチクブツ</t>
    </rPh>
    <rPh sb="7" eb="8">
      <t>ネン</t>
    </rPh>
    <phoneticPr fontId="2"/>
  </si>
  <si>
    <t>土管構築物（10年）</t>
    <rPh sb="0" eb="2">
      <t>ドカン</t>
    </rPh>
    <rPh sb="2" eb="5">
      <t>コウチクブツ</t>
    </rPh>
    <rPh sb="8" eb="9">
      <t>ネン</t>
    </rPh>
    <phoneticPr fontId="2"/>
  </si>
  <si>
    <t>旧償却率
～H1903</t>
    <rPh sb="0" eb="1">
      <t>キュウ</t>
    </rPh>
    <rPh sb="1" eb="4">
      <t>ショウキャクリツ</t>
    </rPh>
    <phoneticPr fontId="2"/>
  </si>
  <si>
    <t>新償却率
H1904～</t>
    <rPh sb="0" eb="1">
      <t>シン</t>
    </rPh>
    <rPh sb="1" eb="4">
      <t>ショウキャクリツ</t>
    </rPh>
    <phoneticPr fontId="2"/>
  </si>
  <si>
    <t>中古資産（３年）</t>
    <rPh sb="0" eb="2">
      <t>チュウコ</t>
    </rPh>
    <rPh sb="2" eb="4">
      <t>シサン</t>
    </rPh>
    <rPh sb="6" eb="7">
      <t>ネン</t>
    </rPh>
    <phoneticPr fontId="2"/>
  </si>
  <si>
    <t>中古資産（２年）</t>
    <rPh sb="0" eb="2">
      <t>チュウコ</t>
    </rPh>
    <rPh sb="2" eb="4">
      <t>シサン</t>
    </rPh>
    <rPh sb="6" eb="7">
      <t>ネン</t>
    </rPh>
    <phoneticPr fontId="2"/>
  </si>
  <si>
    <t>鉄骨鉄筋コンクリート造</t>
    <rPh sb="0" eb="2">
      <t>テッコツ</t>
    </rPh>
    <rPh sb="2" eb="4">
      <t>テッキン</t>
    </rPh>
    <rPh sb="10" eb="11">
      <t>ツク</t>
    </rPh>
    <phoneticPr fontId="2"/>
  </si>
  <si>
    <t>金属造肉厚4ミリ超</t>
    <rPh sb="0" eb="2">
      <t>キンゾク</t>
    </rPh>
    <rPh sb="2" eb="3">
      <t>ゾウ</t>
    </rPh>
    <rPh sb="3" eb="5">
      <t>ニクアツ</t>
    </rPh>
    <rPh sb="8" eb="9">
      <t>チョウ</t>
    </rPh>
    <phoneticPr fontId="2"/>
  </si>
  <si>
    <t>車庫（金属造肉厚3～4ミリ）</t>
    <rPh sb="0" eb="2">
      <t>シャコ</t>
    </rPh>
    <rPh sb="3" eb="5">
      <t>キンゾク</t>
    </rPh>
    <rPh sb="5" eb="6">
      <t>ゾウ</t>
    </rPh>
    <rPh sb="6" eb="8">
      <t>ニクアツ</t>
    </rPh>
    <phoneticPr fontId="2"/>
  </si>
  <si>
    <t>倉庫（金属造肉厚3～4ミリ）</t>
    <rPh sb="0" eb="2">
      <t>ソウコ</t>
    </rPh>
    <rPh sb="3" eb="5">
      <t>キンゾク</t>
    </rPh>
    <rPh sb="5" eb="6">
      <t>ゾウ</t>
    </rPh>
    <rPh sb="6" eb="8">
      <t>ニクアツ</t>
    </rPh>
    <phoneticPr fontId="2"/>
  </si>
  <si>
    <t>非表示</t>
    <rPh sb="0" eb="3">
      <t>ヒヒョウジ</t>
    </rPh>
    <phoneticPr fontId="2"/>
  </si>
  <si>
    <t>元号</t>
    <rPh sb="0" eb="2">
      <t>ゲンゴウ</t>
    </rPh>
    <phoneticPr fontId="2"/>
  </si>
  <si>
    <t>年目</t>
    <rPh sb="0" eb="2">
      <t>ネンメ</t>
    </rPh>
    <phoneticPr fontId="2"/>
  </si>
  <si>
    <t>西暦</t>
    <rPh sb="0" eb="2">
      <t>セイレキ</t>
    </rPh>
    <phoneticPr fontId="2"/>
  </si>
  <si>
    <t>元号年</t>
    <rPh sb="0" eb="2">
      <t>ゲンゴウ</t>
    </rPh>
    <rPh sb="2" eb="3">
      <t>ネン</t>
    </rPh>
    <phoneticPr fontId="2"/>
  </si>
  <si>
    <t>S</t>
    <phoneticPr fontId="2"/>
  </si>
  <si>
    <t>取得年月
（元号､年､月）</t>
    <rPh sb="0" eb="2">
      <t>シュトク</t>
    </rPh>
    <rPh sb="2" eb="4">
      <t>ネンゲツ</t>
    </rPh>
    <rPh sb="6" eb="8">
      <t>ゲンゴウ</t>
    </rPh>
    <rPh sb="9" eb="10">
      <t>ネン</t>
    </rPh>
    <rPh sb="11" eb="12">
      <t>ツキ</t>
    </rPh>
    <phoneticPr fontId="2"/>
  </si>
  <si>
    <t>１年目
　 　　年</t>
    <rPh sb="1" eb="3">
      <t>ネンメ</t>
    </rPh>
    <rPh sb="8" eb="9">
      <t>ネン</t>
    </rPh>
    <phoneticPr fontId="2"/>
  </si>
  <si>
    <t>２年目
　 　　年</t>
    <rPh sb="1" eb="3">
      <t>ネンメ</t>
    </rPh>
    <rPh sb="8" eb="9">
      <t>ネン</t>
    </rPh>
    <phoneticPr fontId="2"/>
  </si>
  <si>
    <t>３年目
　 　　年</t>
    <rPh sb="1" eb="3">
      <t>ネンメ</t>
    </rPh>
    <rPh sb="8" eb="9">
      <t>ネン</t>
    </rPh>
    <phoneticPr fontId="2"/>
  </si>
  <si>
    <t>４年目
　 　　年</t>
    <rPh sb="1" eb="3">
      <t>ネンメ</t>
    </rPh>
    <rPh sb="8" eb="9">
      <t>ネン</t>
    </rPh>
    <phoneticPr fontId="2"/>
  </si>
  <si>
    <t>５年目
　 　　年</t>
    <rPh sb="1" eb="3">
      <t>ネンメ</t>
    </rPh>
    <rPh sb="8" eb="9">
      <t>ネン</t>
    </rPh>
    <phoneticPr fontId="2"/>
  </si>
  <si>
    <t>６年目
　 　　年</t>
    <rPh sb="1" eb="3">
      <t>ネンメ</t>
    </rPh>
    <rPh sb="8" eb="9">
      <t>ネン</t>
    </rPh>
    <phoneticPr fontId="2"/>
  </si>
  <si>
    <t>７年目
　 　　年</t>
    <rPh sb="1" eb="3">
      <t>ネンメ</t>
    </rPh>
    <rPh sb="8" eb="9">
      <t>ネン</t>
    </rPh>
    <phoneticPr fontId="2"/>
  </si>
  <si>
    <t>８年目
　 　　年</t>
    <rPh sb="1" eb="3">
      <t>ネンメ</t>
    </rPh>
    <rPh sb="8" eb="9">
      <t>ネン</t>
    </rPh>
    <phoneticPr fontId="2"/>
  </si>
  <si>
    <t>９年目
　 　　年</t>
    <rPh sb="1" eb="3">
      <t>ネンメ</t>
    </rPh>
    <rPh sb="8" eb="9">
      <t>ネン</t>
    </rPh>
    <phoneticPr fontId="2"/>
  </si>
  <si>
    <t>１０年目
　 　　年</t>
    <rPh sb="2" eb="4">
      <t>ネンメ</t>
    </rPh>
    <rPh sb="9" eb="10">
      <t>ネン</t>
    </rPh>
    <phoneticPr fontId="2"/>
  </si>
  <si>
    <t>１１年目
　 　　年</t>
    <rPh sb="2" eb="4">
      <t>ネンメ</t>
    </rPh>
    <rPh sb="9" eb="10">
      <t>ネン</t>
    </rPh>
    <phoneticPr fontId="2"/>
  </si>
  <si>
    <t>１２年目
　 　　年</t>
    <rPh sb="2" eb="4">
      <t>ネンメ</t>
    </rPh>
    <rPh sb="9" eb="10">
      <t>ネン</t>
    </rPh>
    <phoneticPr fontId="2"/>
  </si>
  <si>
    <t>１３年目
　 　　年</t>
    <rPh sb="2" eb="4">
      <t>ネンメ</t>
    </rPh>
    <rPh sb="9" eb="10">
      <t>ネン</t>
    </rPh>
    <phoneticPr fontId="2"/>
  </si>
  <si>
    <t>１４年目
　 　　年</t>
    <rPh sb="2" eb="4">
      <t>ネンメ</t>
    </rPh>
    <rPh sb="9" eb="10">
      <t>ネン</t>
    </rPh>
    <phoneticPr fontId="2"/>
  </si>
  <si>
    <t>１５年目
　 　　年</t>
    <rPh sb="2" eb="4">
      <t>ネンメ</t>
    </rPh>
    <rPh sb="9" eb="10">
      <t>ネン</t>
    </rPh>
    <phoneticPr fontId="2"/>
  </si>
  <si>
    <t>１６年目
　 　　年</t>
    <rPh sb="2" eb="4">
      <t>ネンメ</t>
    </rPh>
    <rPh sb="9" eb="10">
      <t>ネン</t>
    </rPh>
    <phoneticPr fontId="2"/>
  </si>
  <si>
    <t>１７年目
　 　　年</t>
    <rPh sb="2" eb="4">
      <t>ネンメ</t>
    </rPh>
    <rPh sb="9" eb="10">
      <t>ネン</t>
    </rPh>
    <phoneticPr fontId="2"/>
  </si>
  <si>
    <t>１８年目
　 　　年</t>
    <rPh sb="2" eb="4">
      <t>ネンメ</t>
    </rPh>
    <rPh sb="9" eb="10">
      <t>ネン</t>
    </rPh>
    <phoneticPr fontId="2"/>
  </si>
  <si>
    <t>H</t>
    <phoneticPr fontId="2"/>
  </si>
  <si>
    <t>元号
リスト</t>
    <rPh sb="0" eb="2">
      <t>ゲンゴウ</t>
    </rPh>
    <phoneticPr fontId="2"/>
  </si>
  <si>
    <t>自由入力</t>
    <rPh sb="0" eb="2">
      <t>ジユウ</t>
    </rPh>
    <rPh sb="2" eb="4">
      <t>ニュウリョク</t>
    </rPh>
    <phoneticPr fontId="2"/>
  </si>
  <si>
    <t>減 価 償 却 費 の 算 出 表 (建物）</t>
    <rPh sb="0" eb="1">
      <t>ゲン</t>
    </rPh>
    <rPh sb="2" eb="3">
      <t>アタイ</t>
    </rPh>
    <rPh sb="4" eb="5">
      <t>ツグナ</t>
    </rPh>
    <rPh sb="6" eb="7">
      <t>キャク</t>
    </rPh>
    <rPh sb="8" eb="9">
      <t>ヒ</t>
    </rPh>
    <rPh sb="12" eb="13">
      <t>サン</t>
    </rPh>
    <rPh sb="14" eb="15">
      <t>デ</t>
    </rPh>
    <rPh sb="16" eb="17">
      <t>ヒョウ</t>
    </rPh>
    <rPh sb="19" eb="21">
      <t>タテモノ</t>
    </rPh>
    <phoneticPr fontId="2"/>
  </si>
  <si>
    <t>　　　　　　　　　　　　　　　　　　　　　　　　　　　　　　　　　　　　旧定額法または定額法による</t>
    <rPh sb="36" eb="37">
      <t>キュウ</t>
    </rPh>
    <rPh sb="37" eb="39">
      <t>テイガク</t>
    </rPh>
    <rPh sb="39" eb="40">
      <t>ホウ</t>
    </rPh>
    <rPh sb="43" eb="45">
      <t>テイガク</t>
    </rPh>
    <rPh sb="45" eb="46">
      <t>ホウ</t>
    </rPh>
    <phoneticPr fontId="2"/>
  </si>
  <si>
    <t>　　　　　　　　　　　　　　　　　　　　　　  旧定額法または定額法による</t>
    <rPh sb="24" eb="25">
      <t>キュウ</t>
    </rPh>
    <rPh sb="25" eb="27">
      <t>テイガク</t>
    </rPh>
    <rPh sb="27" eb="28">
      <t>ホウ</t>
    </rPh>
    <rPh sb="31" eb="33">
      <t>テイガク</t>
    </rPh>
    <rPh sb="33" eb="34">
      <t>ホウ</t>
    </rPh>
    <phoneticPr fontId="2"/>
  </si>
  <si>
    <t>　　　　　　　　　　　　　　　　　　　　　　　　　　　　　　  旧定額法または定額法による</t>
    <phoneticPr fontId="2"/>
  </si>
  <si>
    <t>　　　　　　　　　　　　　　　　　　　　　　　　　　　　  　旧定額法または定額法による</t>
    <rPh sb="31" eb="32">
      <t>キュウ</t>
    </rPh>
    <rPh sb="32" eb="34">
      <t>テイガク</t>
    </rPh>
    <rPh sb="34" eb="35">
      <t>ホウ</t>
    </rPh>
    <rPh sb="38" eb="40">
      <t>テイガク</t>
    </rPh>
    <rPh sb="40" eb="41">
      <t>ホウ</t>
    </rPh>
    <phoneticPr fontId="2"/>
  </si>
  <si>
    <t>本シートは魚沼市独自で作成したものであり、計算結果等の確認はあくまで自己責任でお願いいたします。</t>
    <phoneticPr fontId="2"/>
  </si>
  <si>
    <t>R</t>
  </si>
  <si>
    <t>R</t>
    <phoneticPr fontId="2"/>
  </si>
  <si>
    <t>R償却率
H1904～</t>
    <rPh sb="1" eb="4">
      <t>ショウキャクリツ</t>
    </rPh>
    <phoneticPr fontId="2"/>
  </si>
  <si>
    <t>R</t>
    <phoneticPr fontId="2"/>
  </si>
  <si>
    <t>ｺﾝｸﾘｰﾄ構築物（旧17R14）</t>
    <rPh sb="6" eb="9">
      <t>コウチクブツ</t>
    </rPh>
    <rPh sb="10" eb="11">
      <t>キュウ</t>
    </rPh>
    <phoneticPr fontId="2"/>
  </si>
  <si>
    <t>ｺﾝｸﾘｰﾄ構築物（旧17R17）</t>
    <rPh sb="6" eb="9">
      <t>コウチクブツ</t>
    </rPh>
    <rPh sb="10" eb="11">
      <t>キュウ</t>
    </rPh>
    <phoneticPr fontId="2"/>
  </si>
  <si>
    <t>ｺﾝｸﾘｰﾄ構築物（旧20R17）</t>
    <rPh sb="6" eb="9">
      <t>コウチクブツ</t>
    </rPh>
    <rPh sb="10" eb="11">
      <t>キュウ</t>
    </rPh>
    <phoneticPr fontId="2"/>
  </si>
  <si>
    <t>れんが構築物（旧17R14）</t>
    <rPh sb="3" eb="6">
      <t>コウチクブツ</t>
    </rPh>
    <rPh sb="7" eb="8">
      <t>キュウ</t>
    </rPh>
    <phoneticPr fontId="2"/>
  </si>
  <si>
    <t>れんが構築物（旧17R17）</t>
    <rPh sb="3" eb="6">
      <t>コウチクブツ</t>
    </rPh>
    <rPh sb="7" eb="8">
      <t>キュウ</t>
    </rPh>
    <phoneticPr fontId="2"/>
  </si>
  <si>
    <t>れんが構築物（旧20R17）</t>
    <rPh sb="3" eb="6">
      <t>コウチクブツ</t>
    </rPh>
    <rPh sb="7" eb="8">
      <t>キュウ</t>
    </rPh>
    <phoneticPr fontId="2"/>
  </si>
  <si>
    <t>石造構築物（旧17R14）</t>
    <rPh sb="0" eb="2">
      <t>イシヅク</t>
    </rPh>
    <rPh sb="2" eb="5">
      <t>コウチクブツ</t>
    </rPh>
    <rPh sb="6" eb="7">
      <t>キュウ</t>
    </rPh>
    <phoneticPr fontId="2"/>
  </si>
  <si>
    <t>石造構築物（旧17R17）</t>
    <rPh sb="0" eb="2">
      <t>イシヅク</t>
    </rPh>
    <rPh sb="2" eb="5">
      <t>コウチクブツ</t>
    </rPh>
    <rPh sb="6" eb="7">
      <t>キュウ</t>
    </rPh>
    <phoneticPr fontId="2"/>
  </si>
  <si>
    <t>石造構築物（旧20R17）</t>
    <rPh sb="0" eb="2">
      <t>イシヅク</t>
    </rPh>
    <rPh sb="2" eb="5">
      <t>コウチクブツ</t>
    </rPh>
    <rPh sb="6" eb="7">
      <t>キュウ</t>
    </rPh>
    <phoneticPr fontId="2"/>
  </si>
  <si>
    <t>ブロック構築物（旧17R14）</t>
    <rPh sb="4" eb="7">
      <t>コウチクブツ</t>
    </rPh>
    <rPh sb="8" eb="9">
      <t>キュウ</t>
    </rPh>
    <phoneticPr fontId="2"/>
  </si>
  <si>
    <t>ブロック構築物（旧17R17）</t>
    <rPh sb="4" eb="7">
      <t>コウチクブツ</t>
    </rPh>
    <rPh sb="8" eb="9">
      <t>キュウ</t>
    </rPh>
    <phoneticPr fontId="2"/>
  </si>
  <si>
    <t>ブロック構築物（旧20R17）</t>
    <rPh sb="4" eb="7">
      <t>コウチクブツ</t>
    </rPh>
    <rPh sb="8" eb="9">
      <t>キュウ</t>
    </rPh>
    <phoneticPr fontId="2"/>
  </si>
  <si>
    <t>金属構築物（旧13R14）</t>
    <rPh sb="0" eb="2">
      <t>キンゾク</t>
    </rPh>
    <rPh sb="2" eb="5">
      <t>コウチクブツ</t>
    </rPh>
    <rPh sb="6" eb="7">
      <t>キュウ</t>
    </rPh>
    <phoneticPr fontId="2"/>
  </si>
  <si>
    <t>金属構築物（旧15R14）</t>
    <rPh sb="0" eb="2">
      <t>キンゾク</t>
    </rPh>
    <rPh sb="2" eb="5">
      <t>コウチクブツ</t>
    </rPh>
    <rPh sb="6" eb="7">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</si>
</sst>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_);[Red]\(0\)"/>
    <numFmt numFmtId="179" formatCode="#,##0.000_ "/>
    <numFmt numFmtId="180" formatCode="#,##0.000_);[Red]\(#,##0.000\)"/>
  </numFmts>
  <fonts count="9" x14ac:knownFonts="1">
    <font>
      <sz val="11"/>
      <name val="ＭＳ Ｐゴシック"/>
      <family val="3"/>
      <charset val="128"/>
    </font>
    <font>
      <sz val="11"/>
      <name val="ＭＳ Ｐゴシック"/>
      <family val="3"/>
      <charset val="128"/>
    </font>
    <font>
      <sz val="6"/>
      <name val="ＭＳ Ｐゴシック"/>
      <family val="3"/>
      <charset val="128"/>
    </font>
    <font>
      <b/>
      <sz val="24"/>
      <name val="ＭＳ Ｐゴシック"/>
      <family val="3"/>
      <charset val="128"/>
    </font>
    <font>
      <sz val="12"/>
      <name val="ＭＳ Ｐゴシック"/>
      <family val="3"/>
      <charset val="128"/>
    </font>
    <font>
      <sz val="10"/>
      <name val="ＭＳ Ｐゴシック"/>
      <family val="3"/>
      <charset val="128"/>
    </font>
    <font>
      <vertAlign val="superscript"/>
      <sz val="12"/>
      <name val="ＭＳ Ｐゴシック"/>
      <family val="3"/>
      <charset val="128"/>
    </font>
    <font>
      <b/>
      <sz val="12"/>
      <name val="ＭＳ Ｐゴシック"/>
      <family val="3"/>
      <charset val="128"/>
    </font>
    <font>
      <b/>
      <sz val="11"/>
      <name val="ＭＳ Ｐゴシック"/>
      <family val="3"/>
      <charset val="128"/>
    </font>
  </fonts>
  <fills count="7">
    <fill>
      <patternFill patternType="none"/>
    </fill>
    <fill>
      <patternFill patternType="gray125"/>
    </fill>
    <fill>
      <patternFill patternType="lightGray"/>
    </fill>
    <fill>
      <patternFill patternType="solid">
        <fgColor indexed="26"/>
        <bgColor indexed="64"/>
      </patternFill>
    </fill>
    <fill>
      <patternFill patternType="solid">
        <fgColor rgb="FFFFFF00"/>
        <bgColor indexed="64"/>
      </patternFill>
    </fill>
    <fill>
      <patternFill patternType="lightGray">
        <bgColor rgb="FFFFFF00"/>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40">
    <xf numFmtId="0" fontId="0" fillId="0" borderId="0" xfId="0" applyAlignment="1"/>
    <xf numFmtId="176" fontId="0" fillId="0" borderId="0" xfId="0" applyNumberFormat="1" applyAlignment="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176" fontId="4" fillId="0" borderId="0" xfId="0" applyNumberFormat="1"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right" vertical="center"/>
    </xf>
    <xf numFmtId="0" fontId="4" fillId="0" borderId="4" xfId="0" applyFont="1" applyBorder="1" applyAlignment="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shrinkToFit="1"/>
    </xf>
    <xf numFmtId="0" fontId="5"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78" fontId="5" fillId="0" borderId="7" xfId="0" applyNumberFormat="1" applyFont="1" applyBorder="1" applyAlignment="1">
      <alignment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178" fontId="6" fillId="0" borderId="7" xfId="0" applyNumberFormat="1" applyFont="1" applyFill="1" applyBorder="1" applyAlignment="1">
      <alignment horizontal="right" vertical="top"/>
    </xf>
    <xf numFmtId="177" fontId="6" fillId="0" borderId="7" xfId="0" applyNumberFormat="1" applyFont="1" applyFill="1" applyBorder="1" applyAlignment="1">
      <alignment horizontal="right" vertical="top"/>
    </xf>
    <xf numFmtId="176" fontId="4" fillId="0" borderId="7" xfId="0" applyNumberFormat="1" applyFont="1" applyFill="1" applyBorder="1" applyAlignment="1">
      <alignment vertical="center"/>
    </xf>
    <xf numFmtId="0" fontId="4" fillId="0" borderId="7" xfId="0" applyFont="1" applyFill="1" applyBorder="1" applyAlignment="1">
      <alignment horizontal="center" vertical="center" shrinkToFit="1"/>
    </xf>
    <xf numFmtId="179" fontId="4" fillId="0" borderId="7" xfId="0" applyNumberFormat="1" applyFont="1" applyFill="1" applyBorder="1" applyAlignment="1">
      <alignment horizontal="center" vertical="center"/>
    </xf>
    <xf numFmtId="176" fontId="4" fillId="0" borderId="8" xfId="0" applyNumberFormat="1" applyFont="1" applyBorder="1" applyAlignment="1">
      <alignment horizontal="right" vertical="center" shrinkToFit="1"/>
    </xf>
    <xf numFmtId="176" fontId="4" fillId="0" borderId="9" xfId="0" applyNumberFormat="1" applyFont="1" applyBorder="1" applyAlignment="1">
      <alignment horizontal="center" vertical="center" shrinkToFit="1"/>
    </xf>
    <xf numFmtId="176" fontId="4" fillId="0" borderId="7" xfId="0" applyNumberFormat="1" applyFont="1" applyBorder="1" applyAlignment="1">
      <alignment vertical="center"/>
    </xf>
    <xf numFmtId="176" fontId="4" fillId="0" borderId="1" xfId="0" applyNumberFormat="1" applyFont="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vertical="center"/>
    </xf>
    <xf numFmtId="177" fontId="4" fillId="0" borderId="0" xfId="0" applyNumberFormat="1" applyFont="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178" fontId="4" fillId="2" borderId="7" xfId="0" applyNumberFormat="1" applyFont="1" applyFill="1" applyBorder="1" applyAlignment="1">
      <alignment vertical="center"/>
    </xf>
    <xf numFmtId="177" fontId="4" fillId="2" borderId="7" xfId="0" applyNumberFormat="1" applyFont="1" applyFill="1" applyBorder="1" applyAlignment="1">
      <alignment vertical="center"/>
    </xf>
    <xf numFmtId="176" fontId="4" fillId="2" borderId="7" xfId="0" applyNumberFormat="1" applyFont="1" applyFill="1" applyBorder="1" applyAlignment="1">
      <alignment vertical="center"/>
    </xf>
    <xf numFmtId="0" fontId="4" fillId="2" borderId="7" xfId="0" applyFont="1" applyFill="1" applyBorder="1" applyAlignment="1">
      <alignment horizontal="center" vertical="center"/>
    </xf>
    <xf numFmtId="0" fontId="4" fillId="0" borderId="8" xfId="0" applyNumberFormat="1" applyFont="1" applyBorder="1" applyAlignment="1">
      <alignment horizontal="right" vertical="center" shrinkToFi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176" fontId="0" fillId="0" borderId="0" xfId="0" applyNumberFormat="1" applyAlignment="1">
      <alignment vertical="center"/>
    </xf>
    <xf numFmtId="177" fontId="4" fillId="0" borderId="7" xfId="0" applyNumberFormat="1" applyFont="1" applyBorder="1" applyAlignment="1">
      <alignment vertical="center"/>
    </xf>
    <xf numFmtId="180" fontId="4" fillId="0" borderId="7" xfId="0" applyNumberFormat="1" applyFont="1" applyBorder="1" applyAlignment="1">
      <alignment vertical="center"/>
    </xf>
    <xf numFmtId="0" fontId="4" fillId="0" borderId="7" xfId="0" applyNumberFormat="1" applyFont="1" applyFill="1" applyBorder="1" applyAlignment="1">
      <alignment horizontal="center" vertical="center"/>
    </xf>
    <xf numFmtId="0" fontId="4" fillId="0" borderId="8" xfId="0" applyFont="1" applyFill="1" applyBorder="1" applyAlignment="1">
      <alignment horizontal="center" vertical="center"/>
    </xf>
    <xf numFmtId="176" fontId="4" fillId="0" borderId="7"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10" xfId="0" applyNumberFormat="1" applyFont="1" applyBorder="1" applyAlignment="1">
      <alignment vertical="center" shrinkToFit="1"/>
    </xf>
    <xf numFmtId="176" fontId="4" fillId="0" borderId="5" xfId="0" applyNumberFormat="1" applyFont="1" applyBorder="1" applyAlignment="1">
      <alignment vertical="center" shrinkToFit="1"/>
    </xf>
    <xf numFmtId="176" fontId="4" fillId="0" borderId="7" xfId="0" applyNumberFormat="1" applyFont="1" applyFill="1" applyBorder="1" applyAlignment="1">
      <alignment vertical="center" shrinkToFit="1"/>
    </xf>
    <xf numFmtId="0" fontId="4" fillId="0" borderId="4" xfId="0" applyFont="1" applyBorder="1" applyAlignment="1">
      <alignment horizontal="left" vertical="center"/>
    </xf>
    <xf numFmtId="0" fontId="4" fillId="0" borderId="9" xfId="0" applyNumberFormat="1" applyFont="1" applyBorder="1" applyAlignment="1">
      <alignment horizontal="left" vertical="center" shrinkToFit="1"/>
    </xf>
    <xf numFmtId="0" fontId="4" fillId="0" borderId="11" xfId="0" applyFont="1" applyBorder="1" applyAlignment="1">
      <alignment horizontal="center" vertical="center" wrapText="1"/>
    </xf>
    <xf numFmtId="176" fontId="4" fillId="0" borderId="12" xfId="0" applyNumberFormat="1" applyFont="1" applyBorder="1" applyAlignment="1">
      <alignment vertical="center" shrinkToFit="1"/>
    </xf>
    <xf numFmtId="0" fontId="4" fillId="0" borderId="13" xfId="0" applyFont="1" applyBorder="1" applyAlignment="1">
      <alignment vertical="center"/>
    </xf>
    <xf numFmtId="0" fontId="4" fillId="0" borderId="14" xfId="0" applyFont="1" applyBorder="1" applyAlignment="1">
      <alignment horizontal="center" vertical="center" wrapText="1"/>
    </xf>
    <xf numFmtId="176" fontId="7" fillId="0" borderId="15" xfId="0" applyNumberFormat="1" applyFont="1" applyBorder="1" applyAlignment="1">
      <alignment vertical="center" shrinkToFit="1"/>
    </xf>
    <xf numFmtId="176" fontId="7" fillId="0" borderId="16" xfId="0" applyNumberFormat="1" applyFont="1" applyBorder="1" applyAlignment="1">
      <alignment vertical="center" shrinkToFit="1"/>
    </xf>
    <xf numFmtId="176" fontId="4" fillId="0" borderId="12" xfId="0" applyNumberFormat="1" applyFont="1" applyBorder="1" applyAlignment="1">
      <alignment vertical="center"/>
    </xf>
    <xf numFmtId="176" fontId="4" fillId="0" borderId="15" xfId="0" applyNumberFormat="1" applyFont="1" applyBorder="1" applyAlignment="1">
      <alignment vertical="center"/>
    </xf>
    <xf numFmtId="176" fontId="7" fillId="0" borderId="17" xfId="0" applyNumberFormat="1" applyFont="1" applyBorder="1" applyAlignment="1">
      <alignment vertical="center" shrinkToFit="1"/>
    </xf>
    <xf numFmtId="0" fontId="2" fillId="0" borderId="7" xfId="0" applyFont="1" applyFill="1" applyBorder="1" applyAlignment="1">
      <alignment horizontal="center" vertical="center" wrapText="1" shrinkToFit="1"/>
    </xf>
    <xf numFmtId="0" fontId="4" fillId="3" borderId="7" xfId="0" applyNumberFormat="1" applyFont="1" applyFill="1" applyBorder="1" applyAlignment="1" applyProtection="1">
      <alignment horizontal="center" vertical="center"/>
      <protection locked="0"/>
    </xf>
    <xf numFmtId="176" fontId="4" fillId="3" borderId="7" xfId="0" applyNumberFormat="1"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1" xfId="0" applyFont="1" applyBorder="1" applyAlignment="1">
      <alignment horizontal="center" vertical="center" shrinkToFit="1"/>
    </xf>
    <xf numFmtId="0" fontId="4" fillId="4" borderId="0" xfId="0" applyFont="1" applyFill="1" applyAlignment="1">
      <alignment vertical="center"/>
    </xf>
    <xf numFmtId="0" fontId="4" fillId="4" borderId="0" xfId="0" applyFont="1" applyFill="1" applyBorder="1" applyAlignment="1">
      <alignment vertical="center"/>
    </xf>
    <xf numFmtId="0" fontId="4" fillId="4" borderId="18" xfId="0" applyFont="1" applyFill="1" applyBorder="1" applyAlignment="1">
      <alignment horizontal="center" vertical="center" wrapText="1"/>
    </xf>
    <xf numFmtId="176" fontId="7" fillId="4" borderId="9" xfId="0" applyNumberFormat="1" applyFont="1" applyFill="1" applyBorder="1" applyAlignment="1">
      <alignment vertical="center" shrinkToFit="1"/>
    </xf>
    <xf numFmtId="176" fontId="7" fillId="4" borderId="4" xfId="0" applyNumberFormat="1" applyFont="1" applyFill="1" applyBorder="1" applyAlignment="1">
      <alignment vertical="center" shrinkToFit="1"/>
    </xf>
    <xf numFmtId="0" fontId="0" fillId="4" borderId="0" xfId="0" applyFill="1" applyAlignment="1">
      <alignment vertical="center"/>
    </xf>
    <xf numFmtId="0" fontId="4" fillId="4" borderId="2" xfId="0" applyFont="1" applyFill="1" applyBorder="1" applyAlignment="1">
      <alignment vertical="center"/>
    </xf>
    <xf numFmtId="0" fontId="4" fillId="4" borderId="6" xfId="0" applyFont="1" applyFill="1" applyBorder="1" applyAlignment="1">
      <alignment horizontal="center" vertical="center" shrinkToFit="1"/>
    </xf>
    <xf numFmtId="0" fontId="4" fillId="4" borderId="8" xfId="0" applyFont="1" applyFill="1" applyBorder="1" applyAlignment="1">
      <alignment horizontal="center" vertical="center"/>
    </xf>
    <xf numFmtId="0" fontId="4" fillId="5" borderId="8" xfId="0" applyFont="1" applyFill="1" applyBorder="1" applyAlignment="1">
      <alignment vertical="center"/>
    </xf>
    <xf numFmtId="0" fontId="4" fillId="4" borderId="0" xfId="0" applyFont="1" applyFill="1" applyAlignment="1">
      <alignment horizontal="center" vertical="center"/>
    </xf>
    <xf numFmtId="0" fontId="4" fillId="4" borderId="2" xfId="0" applyFont="1" applyFill="1" applyBorder="1" applyAlignment="1">
      <alignment horizontal="center" vertical="center"/>
    </xf>
    <xf numFmtId="0" fontId="4" fillId="5" borderId="8" xfId="0" applyFont="1" applyFill="1" applyBorder="1" applyAlignment="1">
      <alignment horizontal="center" vertical="center"/>
    </xf>
    <xf numFmtId="0" fontId="0" fillId="4" borderId="0" xfId="0" applyFill="1" applyAlignment="1">
      <alignment horizontal="center" vertical="center"/>
    </xf>
    <xf numFmtId="0" fontId="4" fillId="0" borderId="6"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178" fontId="4" fillId="2" borderId="8" xfId="0" applyNumberFormat="1" applyFont="1" applyFill="1" applyBorder="1" applyAlignment="1">
      <alignment vertical="center"/>
    </xf>
    <xf numFmtId="178" fontId="4" fillId="2" borderId="12" xfId="0" applyNumberFormat="1" applyFont="1" applyFill="1" applyBorder="1" applyAlignment="1">
      <alignment vertical="center"/>
    </xf>
    <xf numFmtId="0" fontId="7" fillId="4" borderId="9" xfId="0" applyNumberFormat="1" applyFont="1" applyFill="1" applyBorder="1" applyAlignment="1" applyProtection="1">
      <alignment vertical="center"/>
      <protection locked="0"/>
    </xf>
    <xf numFmtId="0" fontId="4" fillId="4" borderId="0" xfId="1" applyNumberFormat="1" applyFont="1" applyFill="1" applyAlignment="1">
      <alignment vertical="center"/>
    </xf>
    <xf numFmtId="0" fontId="4" fillId="4" borderId="0" xfId="1" applyNumberFormat="1" applyFont="1" applyFill="1" applyBorder="1" applyAlignment="1">
      <alignment vertical="center"/>
    </xf>
    <xf numFmtId="0" fontId="4" fillId="4" borderId="18" xfId="1" applyNumberFormat="1" applyFont="1" applyFill="1" applyBorder="1" applyAlignment="1">
      <alignment horizontal="center" vertical="center" wrapText="1"/>
    </xf>
    <xf numFmtId="0" fontId="7" fillId="4" borderId="9" xfId="1" applyNumberFormat="1" applyFont="1" applyFill="1" applyBorder="1" applyAlignment="1">
      <alignment vertical="center" shrinkToFit="1"/>
    </xf>
    <xf numFmtId="0" fontId="7" fillId="4" borderId="4" xfId="1" applyNumberFormat="1" applyFont="1" applyFill="1" applyBorder="1" applyAlignment="1">
      <alignment vertical="center" shrinkToFit="1"/>
    </xf>
    <xf numFmtId="0" fontId="1" fillId="4" borderId="0" xfId="1" applyNumberFormat="1" applyFont="1" applyFill="1" applyAlignment="1">
      <alignment vertical="center"/>
    </xf>
    <xf numFmtId="0" fontId="4" fillId="0" borderId="11" xfId="0" applyFont="1" applyBorder="1" applyAlignment="1">
      <alignment horizontal="center" vertical="center" wrapText="1" shrinkToFi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shrinkToFit="1"/>
    </xf>
    <xf numFmtId="0" fontId="4" fillId="4" borderId="19" xfId="0" applyFont="1" applyFill="1" applyBorder="1" applyAlignment="1">
      <alignment horizontal="center" vertical="center" shrinkToFi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76" fontId="4" fillId="0" borderId="5" xfId="0" applyNumberFormat="1" applyFont="1" applyBorder="1" applyAlignment="1">
      <alignment horizontal="center" vertical="center" wrapText="1"/>
    </xf>
    <xf numFmtId="0" fontId="4" fillId="4" borderId="0" xfId="0" applyFont="1" applyFill="1" applyBorder="1" applyAlignment="1">
      <alignment horizontal="center" vertical="center" wrapText="1"/>
    </xf>
    <xf numFmtId="0" fontId="4" fillId="3" borderId="22" xfId="0" applyNumberFormat="1" applyFont="1" applyFill="1" applyBorder="1" applyAlignment="1" applyProtection="1">
      <alignment horizontal="center" vertical="center"/>
      <protection locked="0"/>
    </xf>
    <xf numFmtId="178" fontId="4" fillId="2" borderId="11" xfId="0" applyNumberFormat="1" applyFont="1" applyFill="1" applyBorder="1" applyAlignment="1">
      <alignment vertical="center"/>
    </xf>
    <xf numFmtId="0" fontId="4" fillId="4" borderId="0" xfId="1" applyNumberFormat="1" applyFont="1" applyFill="1" applyBorder="1" applyAlignment="1">
      <alignment horizontal="center" vertical="center" wrapText="1"/>
    </xf>
    <xf numFmtId="176" fontId="4" fillId="0" borderId="1"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0" fontId="4" fillId="0" borderId="5" xfId="0" applyFont="1" applyBorder="1" applyAlignment="1">
      <alignment horizontal="center" vertical="center"/>
    </xf>
    <xf numFmtId="0" fontId="4" fillId="0" borderId="7" xfId="0" applyFont="1" applyBorder="1" applyAlignment="1">
      <alignment horizontal="center" vertical="center"/>
    </xf>
    <xf numFmtId="177" fontId="4" fillId="0" borderId="1" xfId="0" applyNumberFormat="1" applyFont="1" applyBorder="1" applyAlignment="1">
      <alignment vertical="center"/>
    </xf>
    <xf numFmtId="180" fontId="4" fillId="0" borderId="1" xfId="0" applyNumberFormat="1" applyFont="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0" fontId="4" fillId="6" borderId="8" xfId="0" applyFont="1" applyFill="1" applyBorder="1" applyAlignment="1" applyProtection="1">
      <alignment horizontal="center" vertical="center"/>
      <protection locked="0"/>
    </xf>
    <xf numFmtId="176" fontId="4" fillId="6" borderId="23" xfId="0" applyNumberFormat="1" applyFont="1" applyFill="1" applyBorder="1" applyAlignment="1" applyProtection="1">
      <alignment vertical="center"/>
      <protection locked="0"/>
    </xf>
    <xf numFmtId="177" fontId="4" fillId="6" borderId="24" xfId="0" applyNumberFormat="1" applyFont="1" applyFill="1" applyBorder="1" applyAlignment="1" applyProtection="1">
      <alignment vertical="center"/>
      <protection locked="0"/>
    </xf>
    <xf numFmtId="180" fontId="4" fillId="6" borderId="25" xfId="0" applyNumberFormat="1" applyFont="1" applyFill="1" applyBorder="1" applyAlignment="1" applyProtection="1">
      <alignment vertical="center"/>
      <protection locked="0"/>
    </xf>
    <xf numFmtId="177" fontId="4" fillId="6" borderId="25" xfId="0" applyNumberFormat="1" applyFont="1" applyFill="1" applyBorder="1" applyAlignment="1" applyProtection="1">
      <alignment vertical="center"/>
      <protection locked="0"/>
    </xf>
    <xf numFmtId="180" fontId="4" fillId="6" borderId="26" xfId="0" applyNumberFormat="1" applyFont="1" applyFill="1" applyBorder="1" applyAlignment="1" applyProtection="1">
      <alignment vertical="center"/>
      <protection locked="0"/>
    </xf>
    <xf numFmtId="176" fontId="4" fillId="6" borderId="23" xfId="0" applyNumberFormat="1" applyFont="1" applyFill="1" applyBorder="1" applyAlignment="1" applyProtection="1">
      <alignment vertical="center" shrinkToFit="1"/>
      <protection locked="0"/>
    </xf>
    <xf numFmtId="0" fontId="3" fillId="0" borderId="0" xfId="0" applyFont="1" applyAlignment="1">
      <alignment horizontal="center"/>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6" xfId="0" applyFont="1" applyBorder="1" applyAlignment="1">
      <alignment horizontal="center" vertical="center" shrinkToFit="1"/>
    </xf>
    <xf numFmtId="0" fontId="4" fillId="0" borderId="11" xfId="0" applyFont="1" applyBorder="1" applyAlignment="1">
      <alignment horizontal="center" vertical="center" shrinkToFit="1"/>
    </xf>
    <xf numFmtId="0" fontId="8" fillId="0" borderId="0" xfId="0" applyFont="1" applyAlignment="1">
      <alignment horizontal="left" vertical="center"/>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4" fillId="0" borderId="19"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9"/>
  <sheetViews>
    <sheetView zoomScale="75" zoomScaleNormal="75" workbookViewId="0">
      <selection activeCell="A16" sqref="A16"/>
    </sheetView>
  </sheetViews>
  <sheetFormatPr defaultColWidth="9" defaultRowHeight="13.5" x14ac:dyDescent="0.15"/>
  <cols>
    <col min="1" max="1" width="6.625" style="40" customWidth="1"/>
    <col min="2" max="2" width="15" style="40" customWidth="1"/>
    <col min="3" max="3" width="5" style="40" customWidth="1"/>
    <col min="4" max="4" width="4.625" style="40" customWidth="1"/>
    <col min="5" max="5" width="4.25" style="40" customWidth="1"/>
    <col min="6" max="7" width="14.375" style="40" customWidth="1"/>
    <col min="8" max="8" width="4.625" style="41" customWidth="1"/>
    <col min="9" max="9" width="5.25" style="40" bestFit="1" customWidth="1"/>
    <col min="10" max="10" width="6.625" style="41" customWidth="1"/>
    <col min="11" max="11" width="3.125" style="42" customWidth="1"/>
    <col min="12" max="12" width="1.75" style="40" customWidth="1"/>
    <col min="13" max="13" width="3.125" style="43" customWidth="1"/>
    <col min="14" max="14" width="12.5" style="40" customWidth="1"/>
    <col min="15" max="17" width="14.375" style="40" customWidth="1"/>
    <col min="18" max="18" width="6.625" style="40" customWidth="1"/>
    <col min="19" max="16384" width="9" style="40"/>
  </cols>
  <sheetData>
    <row r="1" spans="1:18" x14ac:dyDescent="0.15">
      <c r="A1" s="133" t="s">
        <v>107</v>
      </c>
      <c r="B1" s="133"/>
      <c r="C1" s="133"/>
      <c r="D1" s="133"/>
      <c r="E1" s="133"/>
      <c r="F1" s="133"/>
      <c r="G1" s="133"/>
      <c r="H1" s="133"/>
      <c r="I1" s="133"/>
      <c r="J1" s="133"/>
      <c r="K1" s="133"/>
      <c r="L1" s="133"/>
      <c r="M1" s="133"/>
      <c r="N1" s="133"/>
      <c r="O1" s="133"/>
      <c r="P1" s="133"/>
      <c r="Q1" s="133"/>
    </row>
    <row r="2" spans="1:18" customFormat="1" ht="27" customHeight="1" x14ac:dyDescent="0.3">
      <c r="A2" s="128" t="s">
        <v>0</v>
      </c>
      <c r="B2" s="128"/>
      <c r="C2" s="128"/>
      <c r="D2" s="128"/>
      <c r="E2" s="128"/>
      <c r="F2" s="128"/>
      <c r="G2" s="128"/>
      <c r="H2" s="128"/>
      <c r="I2" s="128"/>
      <c r="J2" s="128"/>
      <c r="K2" s="128"/>
      <c r="L2" s="128"/>
      <c r="M2" s="128"/>
      <c r="N2" s="128"/>
      <c r="O2" s="128"/>
      <c r="P2" s="128"/>
      <c r="Q2" s="128"/>
    </row>
    <row r="3" spans="1:18" s="2" customFormat="1" ht="20.100000000000001" customHeight="1" thickBot="1" x14ac:dyDescent="0.2">
      <c r="H3" s="3"/>
      <c r="J3" s="3"/>
      <c r="K3" s="4"/>
      <c r="M3" s="5"/>
      <c r="P3" s="4"/>
      <c r="Q3" s="4" t="s">
        <v>1</v>
      </c>
    </row>
    <row r="4" spans="1:18" s="2" customFormat="1" ht="14.25" x14ac:dyDescent="0.15">
      <c r="A4" s="7"/>
      <c r="B4" s="7"/>
      <c r="C4" s="8"/>
      <c r="D4" s="8"/>
      <c r="E4" s="9"/>
      <c r="F4" s="7" t="s">
        <v>2</v>
      </c>
      <c r="G4" s="7" t="s">
        <v>3</v>
      </c>
      <c r="H4" s="10"/>
      <c r="I4" s="7"/>
      <c r="J4" s="7" t="s">
        <v>4</v>
      </c>
      <c r="K4" s="11" t="s">
        <v>5</v>
      </c>
      <c r="L4" s="12"/>
      <c r="M4" s="54"/>
      <c r="N4" s="58" t="s">
        <v>6</v>
      </c>
      <c r="O4" s="9"/>
      <c r="P4" s="7" t="s">
        <v>7</v>
      </c>
      <c r="Q4" s="7"/>
    </row>
    <row r="5" spans="1:18" s="16" customFormat="1" ht="45.75" customHeight="1" x14ac:dyDescent="0.15">
      <c r="A5" s="13" t="s">
        <v>8</v>
      </c>
      <c r="B5" s="13" t="s">
        <v>9</v>
      </c>
      <c r="C5" s="14" t="s">
        <v>10</v>
      </c>
      <c r="D5" s="131" t="s">
        <v>11</v>
      </c>
      <c r="E5" s="132"/>
      <c r="F5" s="13" t="s">
        <v>12</v>
      </c>
      <c r="G5" s="13" t="s">
        <v>13</v>
      </c>
      <c r="H5" s="15" t="s">
        <v>14</v>
      </c>
      <c r="I5" s="15" t="s">
        <v>15</v>
      </c>
      <c r="J5" s="13" t="s">
        <v>16</v>
      </c>
      <c r="K5" s="129" t="s">
        <v>17</v>
      </c>
      <c r="L5" s="130"/>
      <c r="M5" s="130"/>
      <c r="N5" s="59" t="s">
        <v>18</v>
      </c>
      <c r="O5" s="56" t="s">
        <v>19</v>
      </c>
      <c r="P5" s="13" t="s">
        <v>20</v>
      </c>
      <c r="Q5" s="15" t="s">
        <v>49</v>
      </c>
    </row>
    <row r="6" spans="1:18" s="2" customFormat="1" ht="30" customHeight="1" x14ac:dyDescent="0.15">
      <c r="A6" s="18" t="s">
        <v>85</v>
      </c>
      <c r="B6" s="19"/>
      <c r="C6" s="20">
        <v>1</v>
      </c>
      <c r="D6" s="21" t="s">
        <v>21</v>
      </c>
      <c r="E6" s="22" t="s">
        <v>22</v>
      </c>
      <c r="F6" s="23"/>
      <c r="G6" s="23"/>
      <c r="H6" s="65" t="s">
        <v>51</v>
      </c>
      <c r="I6" s="21" t="s">
        <v>21</v>
      </c>
      <c r="J6" s="25"/>
      <c r="K6" s="26"/>
      <c r="L6" s="27" t="s">
        <v>23</v>
      </c>
      <c r="M6" s="55">
        <v>12</v>
      </c>
      <c r="N6" s="63"/>
      <c r="O6" s="62"/>
      <c r="P6" s="28"/>
      <c r="Q6" s="29"/>
      <c r="R6" s="30"/>
    </row>
    <row r="7" spans="1:18" s="2" customFormat="1" ht="30" customHeight="1" x14ac:dyDescent="0.15">
      <c r="A7" s="18" t="s">
        <v>86</v>
      </c>
      <c r="B7" s="33"/>
      <c r="C7" s="34"/>
      <c r="D7" s="35"/>
      <c r="E7" s="36"/>
      <c r="F7" s="37"/>
      <c r="G7" s="37"/>
      <c r="H7" s="38"/>
      <c r="I7" s="21"/>
      <c r="J7" s="25"/>
      <c r="K7" s="39">
        <v>12</v>
      </c>
      <c r="L7" s="27" t="s">
        <v>50</v>
      </c>
      <c r="M7" s="55">
        <v>12</v>
      </c>
      <c r="N7" s="60"/>
      <c r="O7" s="57"/>
      <c r="P7" s="49"/>
      <c r="Q7" s="51"/>
      <c r="R7" s="30"/>
    </row>
    <row r="8" spans="1:18" s="2" customFormat="1" ht="30" customHeight="1" x14ac:dyDescent="0.15">
      <c r="A8" s="18" t="s">
        <v>87</v>
      </c>
      <c r="B8" s="33"/>
      <c r="C8" s="34"/>
      <c r="D8" s="35"/>
      <c r="E8" s="36"/>
      <c r="F8" s="37"/>
      <c r="G8" s="37"/>
      <c r="H8" s="38"/>
      <c r="I8" s="21"/>
      <c r="J8" s="25"/>
      <c r="K8" s="39">
        <v>12</v>
      </c>
      <c r="L8" s="27" t="s">
        <v>50</v>
      </c>
      <c r="M8" s="55">
        <v>12</v>
      </c>
      <c r="N8" s="60"/>
      <c r="O8" s="57"/>
      <c r="P8" s="49"/>
      <c r="Q8" s="51"/>
      <c r="R8" s="30"/>
    </row>
    <row r="9" spans="1:18" s="2" customFormat="1" ht="30" customHeight="1" x14ac:dyDescent="0.15">
      <c r="A9" s="18" t="s">
        <v>88</v>
      </c>
      <c r="B9" s="33"/>
      <c r="C9" s="34"/>
      <c r="D9" s="35"/>
      <c r="E9" s="36"/>
      <c r="F9" s="37"/>
      <c r="G9" s="37"/>
      <c r="H9" s="38"/>
      <c r="I9" s="21"/>
      <c r="J9" s="25"/>
      <c r="K9" s="39">
        <v>12</v>
      </c>
      <c r="L9" s="27" t="s">
        <v>50</v>
      </c>
      <c r="M9" s="55">
        <v>12</v>
      </c>
      <c r="N9" s="60"/>
      <c r="O9" s="57"/>
      <c r="P9" s="49"/>
      <c r="Q9" s="51"/>
      <c r="R9" s="30"/>
    </row>
    <row r="10" spans="1:18" s="2" customFormat="1" ht="30" customHeight="1" x14ac:dyDescent="0.15">
      <c r="A10" s="18" t="s">
        <v>89</v>
      </c>
      <c r="B10" s="33"/>
      <c r="C10" s="34"/>
      <c r="D10" s="35"/>
      <c r="E10" s="36"/>
      <c r="F10" s="37"/>
      <c r="G10" s="37"/>
      <c r="H10" s="38"/>
      <c r="I10" s="21"/>
      <c r="J10" s="25"/>
      <c r="K10" s="39">
        <v>12</v>
      </c>
      <c r="L10" s="27" t="s">
        <v>50</v>
      </c>
      <c r="M10" s="55">
        <v>12</v>
      </c>
      <c r="N10" s="60"/>
      <c r="O10" s="57"/>
      <c r="P10" s="49"/>
      <c r="Q10" s="51"/>
      <c r="R10" s="30"/>
    </row>
    <row r="11" spans="1:18" s="2" customFormat="1" ht="30" customHeight="1" x14ac:dyDescent="0.15">
      <c r="A11" s="18" t="s">
        <v>90</v>
      </c>
      <c r="B11" s="33"/>
      <c r="C11" s="34"/>
      <c r="D11" s="35"/>
      <c r="E11" s="36"/>
      <c r="F11" s="37"/>
      <c r="G11" s="37"/>
      <c r="H11" s="38"/>
      <c r="I11" s="21"/>
      <c r="J11" s="25"/>
      <c r="K11" s="39">
        <v>12</v>
      </c>
      <c r="L11" s="27" t="s">
        <v>50</v>
      </c>
      <c r="M11" s="55">
        <v>12</v>
      </c>
      <c r="N11" s="60"/>
      <c r="O11" s="57"/>
      <c r="P11" s="49"/>
      <c r="Q11" s="51"/>
      <c r="R11" s="30"/>
    </row>
    <row r="12" spans="1:18" s="2" customFormat="1" ht="30" customHeight="1" x14ac:dyDescent="0.15">
      <c r="A12" s="18" t="s">
        <v>91</v>
      </c>
      <c r="B12" s="33"/>
      <c r="C12" s="34"/>
      <c r="D12" s="35"/>
      <c r="E12" s="36"/>
      <c r="F12" s="37"/>
      <c r="G12" s="37"/>
      <c r="H12" s="38"/>
      <c r="I12" s="21"/>
      <c r="J12" s="25"/>
      <c r="K12" s="39">
        <v>12</v>
      </c>
      <c r="L12" s="27" t="s">
        <v>50</v>
      </c>
      <c r="M12" s="55">
        <v>12</v>
      </c>
      <c r="N12" s="60"/>
      <c r="O12" s="57"/>
      <c r="P12" s="49"/>
      <c r="Q12" s="51"/>
      <c r="R12" s="30"/>
    </row>
    <row r="13" spans="1:18" s="2" customFormat="1" ht="30" customHeight="1" x14ac:dyDescent="0.15">
      <c r="A13" s="18" t="s">
        <v>92</v>
      </c>
      <c r="B13" s="33"/>
      <c r="C13" s="34"/>
      <c r="D13" s="35"/>
      <c r="E13" s="36"/>
      <c r="F13" s="37"/>
      <c r="G13" s="37"/>
      <c r="H13" s="38"/>
      <c r="I13" s="21"/>
      <c r="J13" s="25"/>
      <c r="K13" s="39">
        <v>12</v>
      </c>
      <c r="L13" s="27" t="s">
        <v>50</v>
      </c>
      <c r="M13" s="55">
        <v>12</v>
      </c>
      <c r="N13" s="60"/>
      <c r="O13" s="57"/>
      <c r="P13" s="49"/>
      <c r="Q13" s="51"/>
      <c r="R13" s="30"/>
    </row>
    <row r="14" spans="1:18" s="2" customFormat="1" ht="30" customHeight="1" x14ac:dyDescent="0.15">
      <c r="A14" s="18" t="s">
        <v>93</v>
      </c>
      <c r="B14" s="33"/>
      <c r="C14" s="34"/>
      <c r="D14" s="35"/>
      <c r="E14" s="36"/>
      <c r="F14" s="37"/>
      <c r="G14" s="37"/>
      <c r="H14" s="38"/>
      <c r="I14" s="21"/>
      <c r="J14" s="25"/>
      <c r="K14" s="39">
        <v>12</v>
      </c>
      <c r="L14" s="27" t="s">
        <v>50</v>
      </c>
      <c r="M14" s="55">
        <v>12</v>
      </c>
      <c r="N14" s="60"/>
      <c r="O14" s="57"/>
      <c r="P14" s="49"/>
      <c r="Q14" s="51"/>
      <c r="R14" s="30"/>
    </row>
    <row r="15" spans="1:18" s="2" customFormat="1" ht="30" customHeight="1" x14ac:dyDescent="0.15">
      <c r="A15" s="18" t="s">
        <v>94</v>
      </c>
      <c r="B15" s="33"/>
      <c r="C15" s="34"/>
      <c r="D15" s="35"/>
      <c r="E15" s="36"/>
      <c r="F15" s="37"/>
      <c r="G15" s="37"/>
      <c r="H15" s="38"/>
      <c r="I15" s="21"/>
      <c r="J15" s="25"/>
      <c r="K15" s="39">
        <v>12</v>
      </c>
      <c r="L15" s="27" t="s">
        <v>50</v>
      </c>
      <c r="M15" s="55">
        <v>12</v>
      </c>
      <c r="N15" s="60"/>
      <c r="O15" s="57"/>
      <c r="P15" s="49"/>
      <c r="Q15" s="51"/>
      <c r="R15" s="30"/>
    </row>
    <row r="16" spans="1:18" s="2" customFormat="1" ht="30" customHeight="1" x14ac:dyDescent="0.15">
      <c r="A16" s="18" t="s">
        <v>95</v>
      </c>
      <c r="B16" s="33"/>
      <c r="C16" s="34"/>
      <c r="D16" s="35"/>
      <c r="E16" s="36"/>
      <c r="F16" s="37"/>
      <c r="G16" s="37"/>
      <c r="H16" s="38"/>
      <c r="I16" s="21"/>
      <c r="J16" s="25"/>
      <c r="K16" s="39">
        <v>12</v>
      </c>
      <c r="L16" s="27" t="s">
        <v>39</v>
      </c>
      <c r="M16" s="55">
        <v>12</v>
      </c>
      <c r="N16" s="60"/>
      <c r="O16" s="57"/>
      <c r="P16" s="49"/>
      <c r="Q16" s="51"/>
      <c r="R16" s="30"/>
    </row>
    <row r="17" spans="1:18" s="2" customFormat="1" ht="30" customHeight="1" x14ac:dyDescent="0.15">
      <c r="A17" s="18" t="s">
        <v>96</v>
      </c>
      <c r="B17" s="33"/>
      <c r="C17" s="34"/>
      <c r="D17" s="35"/>
      <c r="E17" s="36"/>
      <c r="F17" s="37"/>
      <c r="G17" s="37"/>
      <c r="H17" s="38"/>
      <c r="I17" s="21"/>
      <c r="J17" s="25"/>
      <c r="K17" s="39">
        <v>12</v>
      </c>
      <c r="L17" s="27" t="s">
        <v>39</v>
      </c>
      <c r="M17" s="55">
        <v>12</v>
      </c>
      <c r="N17" s="60"/>
      <c r="O17" s="57"/>
      <c r="P17" s="49"/>
      <c r="Q17" s="51"/>
      <c r="R17" s="30"/>
    </row>
    <row r="18" spans="1:18" s="2" customFormat="1" ht="30" customHeight="1" x14ac:dyDescent="0.15">
      <c r="A18" s="18" t="s">
        <v>97</v>
      </c>
      <c r="B18" s="33"/>
      <c r="C18" s="34"/>
      <c r="D18" s="35"/>
      <c r="E18" s="36"/>
      <c r="F18" s="37"/>
      <c r="G18" s="37"/>
      <c r="H18" s="38"/>
      <c r="I18" s="21"/>
      <c r="J18" s="25"/>
      <c r="K18" s="39">
        <v>12</v>
      </c>
      <c r="L18" s="27" t="s">
        <v>39</v>
      </c>
      <c r="M18" s="55">
        <v>12</v>
      </c>
      <c r="N18" s="60"/>
      <c r="O18" s="57"/>
      <c r="P18" s="49"/>
      <c r="Q18" s="51"/>
      <c r="R18" s="30"/>
    </row>
    <row r="19" spans="1:18" s="2" customFormat="1" ht="30" customHeight="1" x14ac:dyDescent="0.15">
      <c r="A19" s="18" t="s">
        <v>98</v>
      </c>
      <c r="B19" s="33"/>
      <c r="C19" s="34"/>
      <c r="D19" s="35"/>
      <c r="E19" s="36"/>
      <c r="F19" s="37"/>
      <c r="G19" s="37"/>
      <c r="H19" s="38"/>
      <c r="I19" s="21"/>
      <c r="J19" s="25"/>
      <c r="K19" s="39">
        <v>12</v>
      </c>
      <c r="L19" s="27" t="s">
        <v>39</v>
      </c>
      <c r="M19" s="55">
        <v>12</v>
      </c>
      <c r="N19" s="60"/>
      <c r="O19" s="57"/>
      <c r="P19" s="49"/>
      <c r="Q19" s="51"/>
    </row>
    <row r="20" spans="1:18" s="2" customFormat="1" ht="30" customHeight="1" x14ac:dyDescent="0.15">
      <c r="A20" s="18" t="s">
        <v>99</v>
      </c>
      <c r="B20" s="33"/>
      <c r="C20" s="34"/>
      <c r="D20" s="35"/>
      <c r="E20" s="36"/>
      <c r="F20" s="37"/>
      <c r="G20" s="37"/>
      <c r="H20" s="38"/>
      <c r="I20" s="21"/>
      <c r="J20" s="25"/>
      <c r="K20" s="39">
        <v>12</v>
      </c>
      <c r="L20" s="27" t="s">
        <v>39</v>
      </c>
      <c r="M20" s="55">
        <v>12</v>
      </c>
      <c r="N20" s="60"/>
      <c r="O20" s="57"/>
      <c r="P20" s="49"/>
      <c r="Q20" s="51"/>
    </row>
    <row r="21" spans="1:18" s="2" customFormat="1" ht="30" customHeight="1" x14ac:dyDescent="0.15">
      <c r="A21" s="18" t="s">
        <v>100</v>
      </c>
      <c r="B21" s="33"/>
      <c r="C21" s="34"/>
      <c r="D21" s="35"/>
      <c r="E21" s="36"/>
      <c r="F21" s="37"/>
      <c r="G21" s="37"/>
      <c r="H21" s="38"/>
      <c r="I21" s="21"/>
      <c r="J21" s="25"/>
      <c r="K21" s="39">
        <v>12</v>
      </c>
      <c r="L21" s="27" t="s">
        <v>39</v>
      </c>
      <c r="M21" s="55">
        <v>12</v>
      </c>
      <c r="N21" s="60"/>
      <c r="O21" s="57"/>
      <c r="P21" s="49"/>
      <c r="Q21" s="51"/>
    </row>
    <row r="22" spans="1:18" s="2" customFormat="1" ht="30" customHeight="1" x14ac:dyDescent="0.15">
      <c r="A22" s="18" t="s">
        <v>101</v>
      </c>
      <c r="B22" s="33"/>
      <c r="C22" s="34"/>
      <c r="D22" s="35"/>
      <c r="E22" s="36"/>
      <c r="F22" s="37"/>
      <c r="G22" s="37"/>
      <c r="H22" s="38"/>
      <c r="I22" s="21"/>
      <c r="J22" s="25"/>
      <c r="K22" s="39">
        <v>12</v>
      </c>
      <c r="L22" s="27" t="s">
        <v>39</v>
      </c>
      <c r="M22" s="55">
        <v>12</v>
      </c>
      <c r="N22" s="60"/>
      <c r="O22" s="57"/>
      <c r="P22" s="49"/>
      <c r="Q22" s="51"/>
    </row>
    <row r="23" spans="1:18" s="2" customFormat="1" ht="30" customHeight="1" thickBot="1" x14ac:dyDescent="0.2">
      <c r="A23" s="18" t="s">
        <v>102</v>
      </c>
      <c r="B23" s="33"/>
      <c r="C23" s="34"/>
      <c r="D23" s="35"/>
      <c r="E23" s="36"/>
      <c r="F23" s="37"/>
      <c r="G23" s="37"/>
      <c r="H23" s="38"/>
      <c r="I23" s="21"/>
      <c r="J23" s="25"/>
      <c r="K23" s="39">
        <v>12</v>
      </c>
      <c r="L23" s="27" t="s">
        <v>39</v>
      </c>
      <c r="M23" s="55">
        <v>12</v>
      </c>
      <c r="N23" s="61"/>
      <c r="O23" s="57"/>
      <c r="P23" s="49"/>
      <c r="Q23" s="52"/>
    </row>
    <row r="24" spans="1:18" s="2" customFormat="1" ht="13.5" customHeight="1" x14ac:dyDescent="0.15">
      <c r="H24" s="3"/>
      <c r="J24" s="3"/>
      <c r="K24" s="4"/>
      <c r="M24" s="5"/>
    </row>
    <row r="25" spans="1:18" s="2" customFormat="1" ht="13.5" customHeight="1" x14ac:dyDescent="0.15">
      <c r="H25" s="3"/>
      <c r="J25" s="3"/>
      <c r="K25" s="4"/>
      <c r="M25" s="5"/>
    </row>
    <row r="26" spans="1:18" s="2" customFormat="1" ht="13.5" customHeight="1" x14ac:dyDescent="0.15">
      <c r="H26" s="3"/>
      <c r="J26" s="3"/>
      <c r="K26" s="4"/>
      <c r="M26" s="5"/>
    </row>
    <row r="27" spans="1:18" s="2" customFormat="1" ht="13.5" customHeight="1" x14ac:dyDescent="0.15">
      <c r="H27" s="3"/>
      <c r="J27" s="3"/>
      <c r="K27" s="4"/>
      <c r="M27" s="5"/>
    </row>
    <row r="28" spans="1:18" ht="13.5" customHeight="1" x14ac:dyDescent="0.15"/>
    <row r="29" spans="1:18" ht="13.5" customHeight="1" x14ac:dyDescent="0.15"/>
    <row r="30" spans="1:18" ht="13.5" customHeight="1" x14ac:dyDescent="0.15"/>
    <row r="31" spans="1:18" ht="13.5" customHeight="1" x14ac:dyDescent="0.15"/>
    <row r="32" spans="1:18"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sheetData>
  <mergeCells count="4">
    <mergeCell ref="A2:Q2"/>
    <mergeCell ref="K5:M5"/>
    <mergeCell ref="D5:E5"/>
    <mergeCell ref="A1:Q1"/>
  </mergeCells>
  <phoneticPr fontId="2"/>
  <pageMargins left="0.39370078740157483" right="0.19685039370078741" top="0.39370078740157483" bottom="0.39370078740157483" header="0.19685039370078741" footer="0.19685039370078741"/>
  <pageSetup paperSize="9" scale="89"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10"/>
  <sheetViews>
    <sheetView zoomScale="75" zoomScaleNormal="75" workbookViewId="0">
      <selection activeCell="AG23" sqref="AG23"/>
    </sheetView>
  </sheetViews>
  <sheetFormatPr defaultColWidth="9" defaultRowHeight="13.5" x14ac:dyDescent="0.15"/>
  <cols>
    <col min="1" max="1" width="15" style="40" customWidth="1"/>
    <col min="2" max="2" width="5" style="40" customWidth="1"/>
    <col min="3" max="3" width="5" style="77" hidden="1" customWidth="1"/>
    <col min="4" max="5" width="8" style="85" hidden="1" customWidth="1"/>
    <col min="6" max="7" width="5.5" style="40" customWidth="1"/>
    <col min="8" max="8" width="4.25" style="40" customWidth="1"/>
    <col min="9" max="10" width="14.375" style="40" customWidth="1"/>
    <col min="11" max="11" width="4.625" style="41" customWidth="1"/>
    <col min="12" max="12" width="6.625" style="40" customWidth="1"/>
    <col min="13" max="13" width="5.25" style="40" bestFit="1" customWidth="1"/>
    <col min="14" max="14" width="6.625" style="41" customWidth="1"/>
    <col min="15" max="15" width="3.125" style="42" customWidth="1"/>
    <col min="16" max="16" width="1.75" style="40" customWidth="1"/>
    <col min="17" max="17" width="3.125" style="43" customWidth="1"/>
    <col min="18" max="18" width="12.5" style="40" customWidth="1"/>
    <col min="19" max="21" width="12.5" style="77" hidden="1" customWidth="1"/>
    <col min="22" max="22" width="12.5" style="96" hidden="1" customWidth="1"/>
    <col min="23" max="24" width="12.5" style="77" hidden="1" customWidth="1"/>
    <col min="25" max="27" width="14.375" style="40" customWidth="1"/>
    <col min="28" max="28" width="6.625" style="40" customWidth="1"/>
    <col min="29" max="29" width="12.625" style="40" customWidth="1"/>
    <col min="30" max="30" width="12.625" style="44" customWidth="1"/>
    <col min="31" max="36" width="12.625" style="40" customWidth="1"/>
    <col min="37" max="16384" width="9" style="40"/>
  </cols>
  <sheetData>
    <row r="1" spans="1:38" x14ac:dyDescent="0.15">
      <c r="A1" s="133" t="s">
        <v>108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row>
    <row r="2" spans="1:38" customFormat="1" ht="27" customHeight="1" x14ac:dyDescent="0.3">
      <c r="A2" s="128" t="s">
        <v>37</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D2" s="1"/>
    </row>
    <row r="3" spans="1:38" s="2" customFormat="1" ht="20.100000000000001" customHeight="1" thickBot="1" x14ac:dyDescent="0.2">
      <c r="A3" s="2" t="s">
        <v>111</v>
      </c>
      <c r="C3" s="72" t="s">
        <v>78</v>
      </c>
      <c r="D3" s="82" t="s">
        <v>78</v>
      </c>
      <c r="E3" s="82" t="s">
        <v>78</v>
      </c>
      <c r="K3" s="3"/>
      <c r="N3" s="3"/>
      <c r="O3" s="4"/>
      <c r="Q3" s="5"/>
      <c r="S3" s="72" t="s">
        <v>78</v>
      </c>
      <c r="T3" s="72" t="s">
        <v>78</v>
      </c>
      <c r="U3" s="72" t="s">
        <v>78</v>
      </c>
      <c r="V3" s="91" t="s">
        <v>78</v>
      </c>
      <c r="W3" s="72" t="s">
        <v>78</v>
      </c>
      <c r="X3" s="72" t="s">
        <v>78</v>
      </c>
      <c r="Z3" s="4"/>
      <c r="AA3" s="4" t="s">
        <v>1</v>
      </c>
      <c r="AD3" s="6"/>
    </row>
    <row r="4" spans="1:38" s="2" customFormat="1" ht="14.25" x14ac:dyDescent="0.15">
      <c r="A4" s="7"/>
      <c r="B4" s="8"/>
      <c r="C4" s="78"/>
      <c r="D4" s="83"/>
      <c r="E4" s="83"/>
      <c r="F4" s="8"/>
      <c r="G4" s="12"/>
      <c r="H4" s="9"/>
      <c r="I4" s="7" t="s">
        <v>2</v>
      </c>
      <c r="J4" s="7" t="s">
        <v>3</v>
      </c>
      <c r="K4" s="10"/>
      <c r="L4" s="7"/>
      <c r="M4" s="7"/>
      <c r="N4" s="7" t="s">
        <v>4</v>
      </c>
      <c r="O4" s="11" t="s">
        <v>5</v>
      </c>
      <c r="P4" s="12"/>
      <c r="Q4" s="54"/>
      <c r="R4" s="58" t="s">
        <v>6</v>
      </c>
      <c r="S4" s="73"/>
      <c r="T4" s="73"/>
      <c r="U4" s="73"/>
      <c r="V4" s="92"/>
      <c r="W4" s="73"/>
      <c r="X4" s="73"/>
      <c r="Y4" s="9"/>
      <c r="Z4" s="7" t="s">
        <v>7</v>
      </c>
      <c r="AA4" s="7"/>
      <c r="AD4" s="6"/>
    </row>
    <row r="5" spans="1:38" s="16" customFormat="1" ht="45.75" customHeight="1" x14ac:dyDescent="0.15">
      <c r="A5" s="99" t="s">
        <v>9</v>
      </c>
      <c r="B5" s="100" t="s">
        <v>10</v>
      </c>
      <c r="C5" s="101" t="s">
        <v>80</v>
      </c>
      <c r="D5" s="101" t="s">
        <v>79</v>
      </c>
      <c r="E5" s="101" t="s">
        <v>82</v>
      </c>
      <c r="F5" s="136" t="s">
        <v>84</v>
      </c>
      <c r="G5" s="137"/>
      <c r="H5" s="138"/>
      <c r="I5" s="99" t="s">
        <v>12</v>
      </c>
      <c r="J5" s="99" t="s">
        <v>13</v>
      </c>
      <c r="K5" s="98" t="s">
        <v>14</v>
      </c>
      <c r="L5" s="99" t="s">
        <v>8</v>
      </c>
      <c r="M5" s="98" t="s">
        <v>15</v>
      </c>
      <c r="N5" s="99" t="s">
        <v>16</v>
      </c>
      <c r="O5" s="134" t="s">
        <v>17</v>
      </c>
      <c r="P5" s="135"/>
      <c r="Q5" s="135"/>
      <c r="R5" s="102" t="s">
        <v>18</v>
      </c>
      <c r="S5" s="107" t="s">
        <v>53</v>
      </c>
      <c r="T5" s="107" t="s">
        <v>54</v>
      </c>
      <c r="U5" s="107" t="s">
        <v>55</v>
      </c>
      <c r="V5" s="110" t="s">
        <v>81</v>
      </c>
      <c r="W5" s="107" t="s">
        <v>56</v>
      </c>
      <c r="X5" s="107" t="s">
        <v>57</v>
      </c>
      <c r="Y5" s="103" t="s">
        <v>19</v>
      </c>
      <c r="Z5" s="99" t="s">
        <v>20</v>
      </c>
      <c r="AA5" s="98" t="str">
        <f>"償却可能限度額"&amp;
IF(I7=J7,"（㋑－１）","（㋑×９５％）")</f>
        <v>償却可能限度額（㋑－１）</v>
      </c>
      <c r="AD5" s="111" t="s">
        <v>9</v>
      </c>
      <c r="AE5" s="105" t="s">
        <v>25</v>
      </c>
      <c r="AF5" s="105" t="s">
        <v>70</v>
      </c>
      <c r="AG5" s="105" t="s">
        <v>71</v>
      </c>
      <c r="AH5" s="105" t="s">
        <v>52</v>
      </c>
      <c r="AI5" s="105" t="s">
        <v>70</v>
      </c>
      <c r="AJ5" s="105" t="s">
        <v>71</v>
      </c>
      <c r="AL5" s="105" t="s">
        <v>104</v>
      </c>
    </row>
    <row r="6" spans="1:38" s="16" customFormat="1" ht="14.25" x14ac:dyDescent="0.15">
      <c r="A6" s="13"/>
      <c r="B6" s="14"/>
      <c r="C6" s="79"/>
      <c r="D6" s="79"/>
      <c r="E6" s="79"/>
      <c r="F6" s="86" t="s">
        <v>79</v>
      </c>
      <c r="G6" s="87" t="s">
        <v>21</v>
      </c>
      <c r="H6" s="97" t="s">
        <v>22</v>
      </c>
      <c r="I6" s="13"/>
      <c r="J6" s="13"/>
      <c r="K6" s="15"/>
      <c r="L6" s="13"/>
      <c r="M6" s="15"/>
      <c r="N6" s="13"/>
      <c r="O6" s="69"/>
      <c r="P6" s="70"/>
      <c r="Q6" s="70"/>
      <c r="R6" s="59"/>
      <c r="S6" s="74"/>
      <c r="T6" s="74"/>
      <c r="U6" s="74"/>
      <c r="V6" s="93"/>
      <c r="W6" s="74"/>
      <c r="X6" s="74"/>
      <c r="Y6" s="56"/>
      <c r="Z6" s="13"/>
      <c r="AA6" s="15"/>
      <c r="AD6" s="112"/>
      <c r="AE6" s="13"/>
      <c r="AF6" s="13"/>
      <c r="AG6" s="13"/>
      <c r="AH6" s="13"/>
      <c r="AI6" s="13"/>
      <c r="AJ6" s="13"/>
      <c r="AL6" s="99"/>
    </row>
    <row r="7" spans="1:38" s="2" customFormat="1" ht="30" customHeight="1" x14ac:dyDescent="0.15">
      <c r="A7" s="68" t="s">
        <v>27</v>
      </c>
      <c r="B7" s="48">
        <v>1</v>
      </c>
      <c r="C7" s="80">
        <v>1</v>
      </c>
      <c r="D7" s="80" t="str">
        <f t="shared" ref="D7:D24" si="0">IF(V7&gt;2018,"R ",IF(V7&gt;1988,"H ",IF(V7&lt;1989,"S ")))</f>
        <v xml:space="preserve">R </v>
      </c>
      <c r="E7" s="80">
        <f>IF(V7&gt;2018,V7-2018,IF(V7&gt;1988,V7-1988,IF(V7&lt;1989,V7-1925)))</f>
        <v>1</v>
      </c>
      <c r="F7" s="121" t="s">
        <v>112</v>
      </c>
      <c r="G7" s="108">
        <v>1</v>
      </c>
      <c r="H7" s="66">
        <v>12</v>
      </c>
      <c r="I7" s="67">
        <v>6433876</v>
      </c>
      <c r="J7" s="53">
        <f>-INT(-I7*IF(OR(V7&gt;=2008,AND(V7&gt;=2007,H7&gt;=4)),1,0.9))</f>
        <v>6433876</v>
      </c>
      <c r="K7" s="24" t="str">
        <f>IF(OR(V7&gt;=2008,AND(V7&gt;=2007,H7&gt;=4)),"定額","旧定額")</f>
        <v>定額</v>
      </c>
      <c r="L7" s="18" t="str">
        <f t="shared" ref="L7:L24" si="1">C7&amp;"年目"&amp;CHAR(10)&amp;D7&amp;E7&amp;"年"</f>
        <v>1年目
R 1年</v>
      </c>
      <c r="M7" s="47">
        <f t="shared" ref="M7:M24" si="2">IF(ISNA(VLOOKUP($A$7,$AD$7:$AJ$23,2,0)),"",VLOOKUP($A$7,$AD$7:$AJ$23,IF(V7&lt;2009,2,5),0))</f>
        <v>7</v>
      </c>
      <c r="N7" s="25">
        <f t="shared" ref="N7:N24" si="3">IF(ISNA(VLOOKUP($A$7,$AD$7:$AJ$23,3,0)),"",VLOOKUP($A$7,$AD$7:$AJ$23,IF(V7&lt;2009,IF($K$7="旧定額",3,4),IF($K$7="旧定額",6,7)),0))</f>
        <v>0.14299999999999999</v>
      </c>
      <c r="O7" s="39">
        <f>IF(H7="",12,12-H7+1)</f>
        <v>1</v>
      </c>
      <c r="P7" s="27" t="s">
        <v>23</v>
      </c>
      <c r="Q7" s="55">
        <v>12</v>
      </c>
      <c r="R7" s="60">
        <f>-INT(-J7*N7*(O7/12))</f>
        <v>76671</v>
      </c>
      <c r="S7" s="75">
        <f>-INT(-$J$7*N7*(O7/12))</f>
        <v>76671</v>
      </c>
      <c r="T7" s="75">
        <f>S7</f>
        <v>76671</v>
      </c>
      <c r="U7" s="75">
        <f>$AA$7-T7</f>
        <v>6357204</v>
      </c>
      <c r="V7" s="90">
        <f>G7+IF(F7="S",1925,IF(F7="H",1988,IF(F7="R",2018)))</f>
        <v>2019</v>
      </c>
      <c r="W7" s="75">
        <v>0</v>
      </c>
      <c r="X7" s="75">
        <f>($I$7+INT(-$I$7*0.95))-SUM($W$7:W7)</f>
        <v>321693</v>
      </c>
      <c r="Y7" s="57">
        <f>R7</f>
        <v>76671</v>
      </c>
      <c r="Z7" s="49">
        <f>$I$7-Y7</f>
        <v>6357205</v>
      </c>
      <c r="AA7" s="50">
        <f>IF(I7=J7,-INT(-I7+1),-INT(-I7*0.95))</f>
        <v>6433875</v>
      </c>
      <c r="AB7" s="30"/>
      <c r="AC7" s="30"/>
      <c r="AD7" s="49" t="s">
        <v>26</v>
      </c>
      <c r="AE7" s="45">
        <v>5</v>
      </c>
      <c r="AF7" s="46">
        <v>0.2</v>
      </c>
      <c r="AG7" s="46">
        <v>0.2</v>
      </c>
      <c r="AH7" s="45">
        <v>7</v>
      </c>
      <c r="AI7" s="46">
        <v>0.14199999999999999</v>
      </c>
      <c r="AJ7" s="46">
        <v>0.14299999999999999</v>
      </c>
      <c r="AL7" s="114" t="s">
        <v>83</v>
      </c>
    </row>
    <row r="8" spans="1:38" s="2" customFormat="1" ht="30" customHeight="1" x14ac:dyDescent="0.15">
      <c r="A8" s="33"/>
      <c r="B8" s="34"/>
      <c r="C8" s="81">
        <f>C7+1</f>
        <v>2</v>
      </c>
      <c r="D8" s="84" t="str">
        <f t="shared" si="0"/>
        <v xml:space="preserve">R </v>
      </c>
      <c r="E8" s="84">
        <f t="shared" ref="E8:E24" si="4">IF(V8&gt;2018,V8-2018,IF(V8&gt;1988,V8-1988,IF(V8&lt;1989,V8-1925)))</f>
        <v>2</v>
      </c>
      <c r="F8" s="88"/>
      <c r="G8" s="89"/>
      <c r="H8" s="36"/>
      <c r="I8" s="37"/>
      <c r="J8" s="37"/>
      <c r="K8" s="38"/>
      <c r="L8" s="18" t="str">
        <f t="shared" si="1"/>
        <v>2年目
R 2年</v>
      </c>
      <c r="M8" s="47">
        <f t="shared" si="2"/>
        <v>7</v>
      </c>
      <c r="N8" s="25">
        <f t="shared" si="3"/>
        <v>0.14299999999999999</v>
      </c>
      <c r="O8" s="39">
        <v>12</v>
      </c>
      <c r="P8" s="27" t="s">
        <v>24</v>
      </c>
      <c r="Q8" s="55">
        <v>12</v>
      </c>
      <c r="R8" s="60">
        <f>IF(U8&gt;0,S8,IF(U7&gt;0,U7,0))+IF($I$7=$J$7,0,IF(X8&gt;0,W8,IF(X7&gt;0,X7-1,0)))</f>
        <v>920045</v>
      </c>
      <c r="S8" s="75">
        <f>-INT(-$J$7*N8*(O8/12))</f>
        <v>920045</v>
      </c>
      <c r="T8" s="75">
        <f>T7+S8</f>
        <v>996716</v>
      </c>
      <c r="U8" s="75">
        <f t="shared" ref="U8:U24" si="5">$AA$7-T8</f>
        <v>5437159</v>
      </c>
      <c r="V8" s="94">
        <f>V7+1</f>
        <v>2020</v>
      </c>
      <c r="W8" s="75">
        <f>IF(AND(U7&lt;0,V8&gt;=2008),-INT(-($I$7+INT(-$I$7*0.95)-1)/5),0)</f>
        <v>0</v>
      </c>
      <c r="X8" s="75">
        <f>($I$7+INT(-$I$7*0.95))-SUM($W$7:W8)</f>
        <v>321693</v>
      </c>
      <c r="Y8" s="57">
        <f>SUM($R$7:R8)</f>
        <v>996716</v>
      </c>
      <c r="Z8" s="49">
        <f t="shared" ref="Z8:Z24" si="6">$I$7-Y8</f>
        <v>5437160</v>
      </c>
      <c r="AA8" s="51"/>
      <c r="AB8" s="30"/>
      <c r="AC8" s="30"/>
      <c r="AD8" s="49" t="s">
        <v>27</v>
      </c>
      <c r="AE8" s="45">
        <v>8</v>
      </c>
      <c r="AF8" s="46">
        <v>0.125</v>
      </c>
      <c r="AG8" s="46">
        <v>0.125</v>
      </c>
      <c r="AH8" s="45">
        <v>7</v>
      </c>
      <c r="AI8" s="46">
        <v>0.14199999999999999</v>
      </c>
      <c r="AJ8" s="46">
        <v>0.14299999999999999</v>
      </c>
      <c r="AL8" s="114" t="s">
        <v>103</v>
      </c>
    </row>
    <row r="9" spans="1:38" s="2" customFormat="1" ht="30" customHeight="1" x14ac:dyDescent="0.15">
      <c r="A9" s="33"/>
      <c r="B9" s="34"/>
      <c r="C9" s="81">
        <f t="shared" ref="C9:C24" si="7">C8+1</f>
        <v>3</v>
      </c>
      <c r="D9" s="84" t="str">
        <f t="shared" si="0"/>
        <v xml:space="preserve">R </v>
      </c>
      <c r="E9" s="84">
        <f t="shared" si="4"/>
        <v>3</v>
      </c>
      <c r="F9" s="88"/>
      <c r="G9" s="89"/>
      <c r="H9" s="36"/>
      <c r="I9" s="37"/>
      <c r="J9" s="37"/>
      <c r="K9" s="38"/>
      <c r="L9" s="18" t="str">
        <f t="shared" si="1"/>
        <v>3年目
R 3年</v>
      </c>
      <c r="M9" s="47">
        <f t="shared" si="2"/>
        <v>7</v>
      </c>
      <c r="N9" s="25">
        <f t="shared" si="3"/>
        <v>0.14299999999999999</v>
      </c>
      <c r="O9" s="39">
        <v>12</v>
      </c>
      <c r="P9" s="27" t="s">
        <v>24</v>
      </c>
      <c r="Q9" s="55">
        <v>12</v>
      </c>
      <c r="R9" s="60">
        <f t="shared" ref="R9:R24" si="8">IF(U9&gt;0,S9,IF(U8&gt;0,U8,0))+IF($I$7=$J$7,0,IF(X9&gt;0,W9,IF(X8&gt;0,X8-1,0)))</f>
        <v>920045</v>
      </c>
      <c r="S9" s="75">
        <f t="shared" ref="S9:S24" si="9">-INT(-$J$7*N9*(O9/12))</f>
        <v>920045</v>
      </c>
      <c r="T9" s="75">
        <f t="shared" ref="T9:T24" si="10">T8+S9</f>
        <v>1916761</v>
      </c>
      <c r="U9" s="75">
        <f t="shared" si="5"/>
        <v>4517114</v>
      </c>
      <c r="V9" s="94">
        <f t="shared" ref="V9:V24" si="11">V8+1</f>
        <v>2021</v>
      </c>
      <c r="W9" s="75">
        <f t="shared" ref="W9:W24" si="12">IF(AND(U8&lt;0,V9&gt;=2008),-INT(-($I$7+INT(-$I$7*0.95)-1)/5),0)</f>
        <v>0</v>
      </c>
      <c r="X9" s="75">
        <f>($I$7+INT(-$I$7*0.95))-SUM($W$7:W9)</f>
        <v>321693</v>
      </c>
      <c r="Y9" s="57">
        <f>SUM($R$7:R9)</f>
        <v>1916761</v>
      </c>
      <c r="Z9" s="49">
        <f t="shared" si="6"/>
        <v>4517115</v>
      </c>
      <c r="AA9" s="51"/>
      <c r="AB9" s="30"/>
      <c r="AC9" s="30"/>
      <c r="AD9" s="49" t="s">
        <v>35</v>
      </c>
      <c r="AE9" s="45">
        <v>5</v>
      </c>
      <c r="AF9" s="46">
        <v>0.2</v>
      </c>
      <c r="AG9" s="46">
        <v>0.2</v>
      </c>
      <c r="AH9" s="45">
        <v>7</v>
      </c>
      <c r="AI9" s="46">
        <v>0.14199999999999999</v>
      </c>
      <c r="AJ9" s="46">
        <v>0.14299999999999999</v>
      </c>
      <c r="AL9" s="113" t="s">
        <v>113</v>
      </c>
    </row>
    <row r="10" spans="1:38" s="2" customFormat="1" ht="30" customHeight="1" x14ac:dyDescent="0.15">
      <c r="A10" s="33"/>
      <c r="B10" s="34"/>
      <c r="C10" s="81">
        <f t="shared" si="7"/>
        <v>4</v>
      </c>
      <c r="D10" s="84" t="str">
        <f t="shared" si="0"/>
        <v xml:space="preserve">R </v>
      </c>
      <c r="E10" s="84">
        <f t="shared" si="4"/>
        <v>4</v>
      </c>
      <c r="F10" s="88"/>
      <c r="G10" s="89"/>
      <c r="H10" s="36"/>
      <c r="I10" s="37"/>
      <c r="J10" s="37"/>
      <c r="K10" s="38"/>
      <c r="L10" s="18" t="str">
        <f t="shared" si="1"/>
        <v>4年目
R 4年</v>
      </c>
      <c r="M10" s="47">
        <f t="shared" si="2"/>
        <v>7</v>
      </c>
      <c r="N10" s="25">
        <f t="shared" si="3"/>
        <v>0.14299999999999999</v>
      </c>
      <c r="O10" s="39">
        <v>12</v>
      </c>
      <c r="P10" s="27" t="s">
        <v>24</v>
      </c>
      <c r="Q10" s="55">
        <v>12</v>
      </c>
      <c r="R10" s="60">
        <f t="shared" si="8"/>
        <v>920045</v>
      </c>
      <c r="S10" s="75">
        <f t="shared" si="9"/>
        <v>920045</v>
      </c>
      <c r="T10" s="75">
        <f t="shared" si="10"/>
        <v>2836806</v>
      </c>
      <c r="U10" s="75">
        <f t="shared" si="5"/>
        <v>3597069</v>
      </c>
      <c r="V10" s="94">
        <f t="shared" si="11"/>
        <v>2022</v>
      </c>
      <c r="W10" s="75">
        <f t="shared" si="12"/>
        <v>0</v>
      </c>
      <c r="X10" s="75">
        <f>($I$7+INT(-$I$7*0.95))-SUM($W$7:W10)</f>
        <v>321693</v>
      </c>
      <c r="Y10" s="57">
        <f>SUM($R$7:R10)</f>
        <v>2836806</v>
      </c>
      <c r="Z10" s="49">
        <f t="shared" si="6"/>
        <v>3597070</v>
      </c>
      <c r="AA10" s="51"/>
      <c r="AB10" s="30"/>
      <c r="AC10" s="30"/>
      <c r="AD10" s="49" t="s">
        <v>28</v>
      </c>
      <c r="AE10" s="45">
        <v>5</v>
      </c>
      <c r="AF10" s="46">
        <v>0.2</v>
      </c>
      <c r="AG10" s="46">
        <v>0.2</v>
      </c>
      <c r="AH10" s="45">
        <v>7</v>
      </c>
      <c r="AI10" s="46">
        <v>0.14199999999999999</v>
      </c>
      <c r="AJ10" s="46">
        <v>0.14299999999999999</v>
      </c>
    </row>
    <row r="11" spans="1:38" s="2" customFormat="1" ht="30" customHeight="1" x14ac:dyDescent="0.15">
      <c r="A11" s="33"/>
      <c r="B11" s="34"/>
      <c r="C11" s="81">
        <f t="shared" si="7"/>
        <v>5</v>
      </c>
      <c r="D11" s="84" t="str">
        <f t="shared" si="0"/>
        <v xml:space="preserve">R </v>
      </c>
      <c r="E11" s="84">
        <f t="shared" si="4"/>
        <v>5</v>
      </c>
      <c r="F11" s="88"/>
      <c r="G11" s="89"/>
      <c r="H11" s="36"/>
      <c r="I11" s="37"/>
      <c r="J11" s="37"/>
      <c r="K11" s="38"/>
      <c r="L11" s="18" t="str">
        <f t="shared" si="1"/>
        <v>5年目
R 5年</v>
      </c>
      <c r="M11" s="47">
        <f t="shared" si="2"/>
        <v>7</v>
      </c>
      <c r="N11" s="25">
        <f t="shared" si="3"/>
        <v>0.14299999999999999</v>
      </c>
      <c r="O11" s="39">
        <v>12</v>
      </c>
      <c r="P11" s="27" t="s">
        <v>24</v>
      </c>
      <c r="Q11" s="55">
        <v>12</v>
      </c>
      <c r="R11" s="60">
        <f t="shared" si="8"/>
        <v>920045</v>
      </c>
      <c r="S11" s="75">
        <f t="shared" si="9"/>
        <v>920045</v>
      </c>
      <c r="T11" s="75">
        <f t="shared" si="10"/>
        <v>3756851</v>
      </c>
      <c r="U11" s="75">
        <f t="shared" si="5"/>
        <v>2677024</v>
      </c>
      <c r="V11" s="94">
        <f t="shared" si="11"/>
        <v>2023</v>
      </c>
      <c r="W11" s="75">
        <f t="shared" si="12"/>
        <v>0</v>
      </c>
      <c r="X11" s="75">
        <f>($I$7+INT(-$I$7*0.95))-SUM($W$7:W11)</f>
        <v>321693</v>
      </c>
      <c r="Y11" s="57">
        <f>SUM($R$7:R11)</f>
        <v>3756851</v>
      </c>
      <c r="Z11" s="49">
        <f t="shared" si="6"/>
        <v>2677025</v>
      </c>
      <c r="AA11" s="51"/>
      <c r="AB11" s="30"/>
      <c r="AC11" s="30"/>
      <c r="AD11" s="49" t="s">
        <v>61</v>
      </c>
      <c r="AE11" s="45">
        <v>5</v>
      </c>
      <c r="AF11" s="46">
        <v>0.2</v>
      </c>
      <c r="AG11" s="46">
        <v>0.2</v>
      </c>
      <c r="AH11" s="45">
        <v>7</v>
      </c>
      <c r="AI11" s="46">
        <v>0.14199999999999999</v>
      </c>
      <c r="AJ11" s="46">
        <v>0.14299999999999999</v>
      </c>
    </row>
    <row r="12" spans="1:38" s="2" customFormat="1" ht="30" customHeight="1" x14ac:dyDescent="0.15">
      <c r="A12" s="33"/>
      <c r="B12" s="34"/>
      <c r="C12" s="81">
        <f t="shared" si="7"/>
        <v>6</v>
      </c>
      <c r="D12" s="84" t="str">
        <f t="shared" si="0"/>
        <v xml:space="preserve">R </v>
      </c>
      <c r="E12" s="84">
        <f t="shared" si="4"/>
        <v>6</v>
      </c>
      <c r="F12" s="88"/>
      <c r="G12" s="89"/>
      <c r="H12" s="36"/>
      <c r="I12" s="37"/>
      <c r="J12" s="37"/>
      <c r="K12" s="38"/>
      <c r="L12" s="18" t="str">
        <f t="shared" si="1"/>
        <v>6年目
R 6年</v>
      </c>
      <c r="M12" s="47">
        <f t="shared" si="2"/>
        <v>7</v>
      </c>
      <c r="N12" s="25">
        <f t="shared" si="3"/>
        <v>0.14299999999999999</v>
      </c>
      <c r="O12" s="39">
        <v>12</v>
      </c>
      <c r="P12" s="27" t="s">
        <v>24</v>
      </c>
      <c r="Q12" s="55">
        <v>12</v>
      </c>
      <c r="R12" s="60">
        <f t="shared" si="8"/>
        <v>920045</v>
      </c>
      <c r="S12" s="75">
        <f t="shared" si="9"/>
        <v>920045</v>
      </c>
      <c r="T12" s="75">
        <f t="shared" si="10"/>
        <v>4676896</v>
      </c>
      <c r="U12" s="75">
        <f t="shared" si="5"/>
        <v>1756979</v>
      </c>
      <c r="V12" s="94">
        <f t="shared" si="11"/>
        <v>2024</v>
      </c>
      <c r="W12" s="75">
        <f t="shared" si="12"/>
        <v>0</v>
      </c>
      <c r="X12" s="75">
        <f>($I$7+INT(-$I$7*0.95))-SUM($W$7:W12)</f>
        <v>321693</v>
      </c>
      <c r="Y12" s="57">
        <f>SUM($R$7:R12)</f>
        <v>4676896</v>
      </c>
      <c r="Z12" s="49">
        <f t="shared" si="6"/>
        <v>1756980</v>
      </c>
      <c r="AA12" s="51"/>
      <c r="AB12" s="30"/>
      <c r="AC12" s="30"/>
      <c r="AD12" s="49" t="s">
        <v>60</v>
      </c>
      <c r="AE12" s="45">
        <v>8</v>
      </c>
      <c r="AF12" s="46">
        <v>0.125</v>
      </c>
      <c r="AG12" s="46">
        <v>0.125</v>
      </c>
      <c r="AH12" s="45">
        <v>7</v>
      </c>
      <c r="AI12" s="46">
        <v>0.14199999999999999</v>
      </c>
      <c r="AJ12" s="46">
        <v>0.14299999999999999</v>
      </c>
    </row>
    <row r="13" spans="1:38" s="2" customFormat="1" ht="30" customHeight="1" x14ac:dyDescent="0.15">
      <c r="A13" s="33"/>
      <c r="B13" s="34"/>
      <c r="C13" s="81">
        <f t="shared" si="7"/>
        <v>7</v>
      </c>
      <c r="D13" s="84" t="str">
        <f t="shared" si="0"/>
        <v xml:space="preserve">R </v>
      </c>
      <c r="E13" s="84">
        <f t="shared" si="4"/>
        <v>7</v>
      </c>
      <c r="F13" s="88"/>
      <c r="G13" s="89"/>
      <c r="H13" s="36"/>
      <c r="I13" s="37"/>
      <c r="J13" s="37"/>
      <c r="K13" s="38"/>
      <c r="L13" s="18" t="str">
        <f t="shared" si="1"/>
        <v>7年目
R 7年</v>
      </c>
      <c r="M13" s="47">
        <f t="shared" si="2"/>
        <v>7</v>
      </c>
      <c r="N13" s="25">
        <f t="shared" si="3"/>
        <v>0.14299999999999999</v>
      </c>
      <c r="O13" s="39">
        <v>12</v>
      </c>
      <c r="P13" s="27" t="s">
        <v>24</v>
      </c>
      <c r="Q13" s="55">
        <v>12</v>
      </c>
      <c r="R13" s="60">
        <f t="shared" si="8"/>
        <v>920045</v>
      </c>
      <c r="S13" s="75">
        <f t="shared" si="9"/>
        <v>920045</v>
      </c>
      <c r="T13" s="75">
        <f t="shared" si="10"/>
        <v>5596941</v>
      </c>
      <c r="U13" s="75">
        <f t="shared" si="5"/>
        <v>836934</v>
      </c>
      <c r="V13" s="94">
        <f t="shared" si="11"/>
        <v>2025</v>
      </c>
      <c r="W13" s="75">
        <f t="shared" si="12"/>
        <v>0</v>
      </c>
      <c r="X13" s="75">
        <f>($I$7+INT(-$I$7*0.95))-SUM($W$7:W13)</f>
        <v>321693</v>
      </c>
      <c r="Y13" s="57">
        <f>SUM($R$7:R13)</f>
        <v>5596941</v>
      </c>
      <c r="Z13" s="49">
        <f t="shared" si="6"/>
        <v>836935</v>
      </c>
      <c r="AA13" s="51"/>
      <c r="AB13" s="30"/>
      <c r="AC13" s="30"/>
      <c r="AD13" s="49" t="s">
        <v>36</v>
      </c>
      <c r="AE13" s="45">
        <v>5</v>
      </c>
      <c r="AF13" s="46">
        <v>0.2</v>
      </c>
      <c r="AG13" s="46">
        <v>0.2</v>
      </c>
      <c r="AH13" s="45">
        <v>7</v>
      </c>
      <c r="AI13" s="46">
        <v>0.14199999999999999</v>
      </c>
      <c r="AJ13" s="46">
        <v>0.14299999999999999</v>
      </c>
    </row>
    <row r="14" spans="1:38" s="2" customFormat="1" ht="30" customHeight="1" x14ac:dyDescent="0.15">
      <c r="A14" s="33"/>
      <c r="B14" s="34"/>
      <c r="C14" s="81">
        <f t="shared" si="7"/>
        <v>8</v>
      </c>
      <c r="D14" s="84" t="str">
        <f t="shared" si="0"/>
        <v xml:space="preserve">R </v>
      </c>
      <c r="E14" s="84">
        <f t="shared" si="4"/>
        <v>8</v>
      </c>
      <c r="F14" s="88"/>
      <c r="G14" s="89"/>
      <c r="H14" s="36"/>
      <c r="I14" s="37"/>
      <c r="J14" s="37"/>
      <c r="K14" s="38"/>
      <c r="L14" s="18" t="str">
        <f t="shared" si="1"/>
        <v>8年目
R 8年</v>
      </c>
      <c r="M14" s="47">
        <f t="shared" si="2"/>
        <v>7</v>
      </c>
      <c r="N14" s="25">
        <f t="shared" si="3"/>
        <v>0.14299999999999999</v>
      </c>
      <c r="O14" s="39">
        <v>12</v>
      </c>
      <c r="P14" s="27" t="s">
        <v>24</v>
      </c>
      <c r="Q14" s="55">
        <v>12</v>
      </c>
      <c r="R14" s="60">
        <f t="shared" si="8"/>
        <v>836934</v>
      </c>
      <c r="S14" s="75">
        <f t="shared" si="9"/>
        <v>920045</v>
      </c>
      <c r="T14" s="75">
        <f t="shared" si="10"/>
        <v>6516986</v>
      </c>
      <c r="U14" s="75">
        <f t="shared" si="5"/>
        <v>-83111</v>
      </c>
      <c r="V14" s="94">
        <f t="shared" si="11"/>
        <v>2026</v>
      </c>
      <c r="W14" s="75">
        <f t="shared" si="12"/>
        <v>0</v>
      </c>
      <c r="X14" s="75">
        <f>($I$7+INT(-$I$7*0.95))-SUM($W$7:W14)</f>
        <v>321693</v>
      </c>
      <c r="Y14" s="57">
        <f>SUM($R$7:R14)</f>
        <v>6433875</v>
      </c>
      <c r="Z14" s="49">
        <f t="shared" si="6"/>
        <v>1</v>
      </c>
      <c r="AA14" s="51"/>
      <c r="AB14" s="30"/>
      <c r="AC14" s="30"/>
      <c r="AD14" s="49" t="s">
        <v>29</v>
      </c>
      <c r="AE14" s="45">
        <v>8</v>
      </c>
      <c r="AF14" s="46">
        <v>0.125</v>
      </c>
      <c r="AG14" s="46">
        <v>0.125</v>
      </c>
      <c r="AH14" s="45">
        <v>7</v>
      </c>
      <c r="AI14" s="46">
        <v>0.14199999999999999</v>
      </c>
      <c r="AJ14" s="46">
        <v>0.14299999999999999</v>
      </c>
    </row>
    <row r="15" spans="1:38" s="2" customFormat="1" ht="30" customHeight="1" x14ac:dyDescent="0.15">
      <c r="A15" s="33"/>
      <c r="B15" s="34"/>
      <c r="C15" s="81">
        <f t="shared" si="7"/>
        <v>9</v>
      </c>
      <c r="D15" s="84" t="str">
        <f t="shared" si="0"/>
        <v xml:space="preserve">R </v>
      </c>
      <c r="E15" s="84">
        <f t="shared" si="4"/>
        <v>9</v>
      </c>
      <c r="F15" s="88"/>
      <c r="G15" s="89"/>
      <c r="H15" s="36"/>
      <c r="I15" s="37"/>
      <c r="J15" s="37"/>
      <c r="K15" s="38"/>
      <c r="L15" s="18" t="str">
        <f t="shared" si="1"/>
        <v>9年目
R 9年</v>
      </c>
      <c r="M15" s="47">
        <f t="shared" si="2"/>
        <v>7</v>
      </c>
      <c r="N15" s="25">
        <f t="shared" si="3"/>
        <v>0.14299999999999999</v>
      </c>
      <c r="O15" s="39">
        <v>12</v>
      </c>
      <c r="P15" s="27" t="s">
        <v>24</v>
      </c>
      <c r="Q15" s="55">
        <v>12</v>
      </c>
      <c r="R15" s="60">
        <f t="shared" si="8"/>
        <v>0</v>
      </c>
      <c r="S15" s="75">
        <f t="shared" si="9"/>
        <v>920045</v>
      </c>
      <c r="T15" s="75">
        <f t="shared" si="10"/>
        <v>7437031</v>
      </c>
      <c r="U15" s="75">
        <f t="shared" si="5"/>
        <v>-1003156</v>
      </c>
      <c r="V15" s="94">
        <f t="shared" si="11"/>
        <v>2027</v>
      </c>
      <c r="W15" s="75">
        <f t="shared" si="12"/>
        <v>64339</v>
      </c>
      <c r="X15" s="75">
        <f>($I$7+INT(-$I$7*0.95))-SUM($W$7:W15)</f>
        <v>257354</v>
      </c>
      <c r="Y15" s="57">
        <f>SUM($R$7:R15)</f>
        <v>6433875</v>
      </c>
      <c r="Z15" s="49">
        <f t="shared" si="6"/>
        <v>1</v>
      </c>
      <c r="AA15" s="51"/>
      <c r="AB15" s="30"/>
      <c r="AC15" s="30"/>
      <c r="AD15" s="49" t="s">
        <v>30</v>
      </c>
      <c r="AE15" s="45">
        <v>8</v>
      </c>
      <c r="AF15" s="46">
        <v>0.125</v>
      </c>
      <c r="AG15" s="46">
        <v>0.125</v>
      </c>
      <c r="AH15" s="45">
        <v>7</v>
      </c>
      <c r="AI15" s="46">
        <v>0.14199999999999999</v>
      </c>
      <c r="AJ15" s="46">
        <v>0.14299999999999999</v>
      </c>
    </row>
    <row r="16" spans="1:38" s="2" customFormat="1" ht="30" customHeight="1" x14ac:dyDescent="0.15">
      <c r="A16" s="33"/>
      <c r="B16" s="34"/>
      <c r="C16" s="81">
        <f t="shared" si="7"/>
        <v>10</v>
      </c>
      <c r="D16" s="84" t="str">
        <f t="shared" si="0"/>
        <v xml:space="preserve">R </v>
      </c>
      <c r="E16" s="84">
        <f t="shared" si="4"/>
        <v>10</v>
      </c>
      <c r="F16" s="88"/>
      <c r="G16" s="89"/>
      <c r="H16" s="36"/>
      <c r="I16" s="37"/>
      <c r="J16" s="37"/>
      <c r="K16" s="38"/>
      <c r="L16" s="18" t="str">
        <f t="shared" si="1"/>
        <v>10年目
R 10年</v>
      </c>
      <c r="M16" s="47">
        <f t="shared" si="2"/>
        <v>7</v>
      </c>
      <c r="N16" s="25">
        <f t="shared" si="3"/>
        <v>0.14299999999999999</v>
      </c>
      <c r="O16" s="39">
        <v>12</v>
      </c>
      <c r="P16" s="27" t="s">
        <v>23</v>
      </c>
      <c r="Q16" s="55">
        <v>12</v>
      </c>
      <c r="R16" s="60">
        <f t="shared" si="8"/>
        <v>0</v>
      </c>
      <c r="S16" s="75">
        <f t="shared" si="9"/>
        <v>920045</v>
      </c>
      <c r="T16" s="75">
        <f t="shared" si="10"/>
        <v>8357076</v>
      </c>
      <c r="U16" s="75">
        <f t="shared" si="5"/>
        <v>-1923201</v>
      </c>
      <c r="V16" s="94">
        <f t="shared" si="11"/>
        <v>2028</v>
      </c>
      <c r="W16" s="75">
        <f t="shared" si="12"/>
        <v>64339</v>
      </c>
      <c r="X16" s="75">
        <f>($I$7+INT(-$I$7*0.95))-SUM($W$7:W16)</f>
        <v>193015</v>
      </c>
      <c r="Y16" s="57">
        <f>SUM($R$7:R16)</f>
        <v>6433875</v>
      </c>
      <c r="Z16" s="49">
        <f t="shared" si="6"/>
        <v>1</v>
      </c>
      <c r="AA16" s="51"/>
      <c r="AB16" s="30"/>
      <c r="AC16" s="30"/>
      <c r="AD16" s="49" t="s">
        <v>31</v>
      </c>
      <c r="AE16" s="45">
        <v>8</v>
      </c>
      <c r="AF16" s="46">
        <v>0.125</v>
      </c>
      <c r="AG16" s="46">
        <v>0.125</v>
      </c>
      <c r="AH16" s="45">
        <v>7</v>
      </c>
      <c r="AI16" s="46">
        <v>0.14199999999999999</v>
      </c>
      <c r="AJ16" s="46">
        <v>0.14299999999999999</v>
      </c>
    </row>
    <row r="17" spans="1:36" s="2" customFormat="1" ht="30" customHeight="1" x14ac:dyDescent="0.15">
      <c r="A17" s="33"/>
      <c r="B17" s="34"/>
      <c r="C17" s="81">
        <f t="shared" si="7"/>
        <v>11</v>
      </c>
      <c r="D17" s="84" t="str">
        <f t="shared" si="0"/>
        <v xml:space="preserve">R </v>
      </c>
      <c r="E17" s="84">
        <f t="shared" si="4"/>
        <v>11</v>
      </c>
      <c r="F17" s="88"/>
      <c r="G17" s="89"/>
      <c r="H17" s="36"/>
      <c r="I17" s="37"/>
      <c r="J17" s="37"/>
      <c r="K17" s="38"/>
      <c r="L17" s="18" t="str">
        <f t="shared" si="1"/>
        <v>11年目
R 11年</v>
      </c>
      <c r="M17" s="47">
        <f t="shared" si="2"/>
        <v>7</v>
      </c>
      <c r="N17" s="25">
        <f t="shared" si="3"/>
        <v>0.14299999999999999</v>
      </c>
      <c r="O17" s="39">
        <v>12</v>
      </c>
      <c r="P17" s="27" t="s">
        <v>23</v>
      </c>
      <c r="Q17" s="55">
        <v>12</v>
      </c>
      <c r="R17" s="60">
        <f t="shared" si="8"/>
        <v>0</v>
      </c>
      <c r="S17" s="75">
        <f t="shared" si="9"/>
        <v>920045</v>
      </c>
      <c r="T17" s="75">
        <f t="shared" si="10"/>
        <v>9277121</v>
      </c>
      <c r="U17" s="75">
        <f t="shared" si="5"/>
        <v>-2843246</v>
      </c>
      <c r="V17" s="94">
        <f t="shared" si="11"/>
        <v>2029</v>
      </c>
      <c r="W17" s="75">
        <f t="shared" si="12"/>
        <v>64339</v>
      </c>
      <c r="X17" s="75">
        <f>($I$7+INT(-$I$7*0.95))-SUM($W$7:W17)</f>
        <v>128676</v>
      </c>
      <c r="Y17" s="57">
        <f>SUM($R$7:R17)</f>
        <v>6433875</v>
      </c>
      <c r="Z17" s="49">
        <f t="shared" si="6"/>
        <v>1</v>
      </c>
      <c r="AA17" s="51"/>
      <c r="AB17" s="30"/>
      <c r="AC17" s="30"/>
      <c r="AD17" s="49" t="s">
        <v>32</v>
      </c>
      <c r="AE17" s="45">
        <v>10</v>
      </c>
      <c r="AF17" s="46">
        <v>0.1</v>
      </c>
      <c r="AG17" s="46">
        <v>0.1</v>
      </c>
      <c r="AH17" s="45">
        <v>7</v>
      </c>
      <c r="AI17" s="46">
        <v>0.14199999999999999</v>
      </c>
      <c r="AJ17" s="46">
        <v>0.14299999999999999</v>
      </c>
    </row>
    <row r="18" spans="1:36" s="2" customFormat="1" ht="30" customHeight="1" x14ac:dyDescent="0.15">
      <c r="A18" s="33"/>
      <c r="B18" s="34"/>
      <c r="C18" s="81">
        <f t="shared" si="7"/>
        <v>12</v>
      </c>
      <c r="D18" s="84" t="str">
        <f t="shared" si="0"/>
        <v xml:space="preserve">R </v>
      </c>
      <c r="E18" s="84">
        <f t="shared" si="4"/>
        <v>12</v>
      </c>
      <c r="F18" s="88"/>
      <c r="G18" s="89"/>
      <c r="H18" s="36"/>
      <c r="I18" s="37"/>
      <c r="J18" s="37"/>
      <c r="K18" s="38"/>
      <c r="L18" s="18" t="str">
        <f t="shared" si="1"/>
        <v>12年目
R 12年</v>
      </c>
      <c r="M18" s="47">
        <f t="shared" si="2"/>
        <v>7</v>
      </c>
      <c r="N18" s="25">
        <f t="shared" si="3"/>
        <v>0.14299999999999999</v>
      </c>
      <c r="O18" s="39">
        <v>12</v>
      </c>
      <c r="P18" s="27" t="s">
        <v>23</v>
      </c>
      <c r="Q18" s="55">
        <v>12</v>
      </c>
      <c r="R18" s="60">
        <f t="shared" si="8"/>
        <v>0</v>
      </c>
      <c r="S18" s="75">
        <f t="shared" si="9"/>
        <v>920045</v>
      </c>
      <c r="T18" s="75">
        <f t="shared" si="10"/>
        <v>10197166</v>
      </c>
      <c r="U18" s="75">
        <f t="shared" si="5"/>
        <v>-3763291</v>
      </c>
      <c r="V18" s="94">
        <f t="shared" si="11"/>
        <v>2030</v>
      </c>
      <c r="W18" s="75">
        <f t="shared" si="12"/>
        <v>64339</v>
      </c>
      <c r="X18" s="75">
        <f>($I$7+INT(-$I$7*0.95))-SUM($W$7:W18)</f>
        <v>64337</v>
      </c>
      <c r="Y18" s="57">
        <f>SUM($R$7:R18)</f>
        <v>6433875</v>
      </c>
      <c r="Z18" s="49">
        <f t="shared" si="6"/>
        <v>1</v>
      </c>
      <c r="AA18" s="51"/>
      <c r="AB18" s="30"/>
      <c r="AC18" s="30"/>
      <c r="AD18" s="49" t="s">
        <v>58</v>
      </c>
      <c r="AE18" s="45">
        <v>6</v>
      </c>
      <c r="AF18" s="46">
        <v>0.16600000000000001</v>
      </c>
      <c r="AG18" s="46">
        <v>0.16700000000000001</v>
      </c>
      <c r="AH18" s="45">
        <v>6</v>
      </c>
      <c r="AI18" s="46">
        <v>0.16600000000000001</v>
      </c>
      <c r="AJ18" s="46">
        <v>0.16700000000000001</v>
      </c>
    </row>
    <row r="19" spans="1:36" s="2" customFormat="1" ht="29.25" customHeight="1" x14ac:dyDescent="0.15">
      <c r="A19" s="33"/>
      <c r="B19" s="34"/>
      <c r="C19" s="81">
        <f t="shared" si="7"/>
        <v>13</v>
      </c>
      <c r="D19" s="84" t="str">
        <f t="shared" si="0"/>
        <v xml:space="preserve">R </v>
      </c>
      <c r="E19" s="84">
        <f t="shared" si="4"/>
        <v>13</v>
      </c>
      <c r="F19" s="88"/>
      <c r="G19" s="89"/>
      <c r="H19" s="36"/>
      <c r="I19" s="37"/>
      <c r="J19" s="37"/>
      <c r="K19" s="38"/>
      <c r="L19" s="18" t="str">
        <f t="shared" si="1"/>
        <v>13年目
R 13年</v>
      </c>
      <c r="M19" s="47">
        <f t="shared" si="2"/>
        <v>7</v>
      </c>
      <c r="N19" s="25">
        <f t="shared" si="3"/>
        <v>0.14299999999999999</v>
      </c>
      <c r="O19" s="39">
        <v>12</v>
      </c>
      <c r="P19" s="27" t="s">
        <v>48</v>
      </c>
      <c r="Q19" s="55">
        <v>12</v>
      </c>
      <c r="R19" s="60">
        <f t="shared" si="8"/>
        <v>0</v>
      </c>
      <c r="S19" s="75">
        <f t="shared" si="9"/>
        <v>920045</v>
      </c>
      <c r="T19" s="75">
        <f t="shared" si="10"/>
        <v>11117211</v>
      </c>
      <c r="U19" s="75">
        <f t="shared" si="5"/>
        <v>-4683336</v>
      </c>
      <c r="V19" s="94">
        <f t="shared" si="11"/>
        <v>2031</v>
      </c>
      <c r="W19" s="75">
        <f t="shared" si="12"/>
        <v>64339</v>
      </c>
      <c r="X19" s="75">
        <f>($I$7+INT(-$I$7*0.95))-SUM($W$7:W19)</f>
        <v>-2</v>
      </c>
      <c r="Y19" s="57">
        <f>SUM($R$7:R19)</f>
        <v>6433875</v>
      </c>
      <c r="Z19" s="49">
        <f t="shared" si="6"/>
        <v>1</v>
      </c>
      <c r="AA19" s="51"/>
      <c r="AB19" s="30"/>
      <c r="AC19" s="30"/>
      <c r="AD19" s="49" t="s">
        <v>33</v>
      </c>
      <c r="AE19" s="45">
        <v>4</v>
      </c>
      <c r="AF19" s="46">
        <v>0.25</v>
      </c>
      <c r="AG19" s="46">
        <v>0.25</v>
      </c>
      <c r="AH19" s="45">
        <v>4</v>
      </c>
      <c r="AI19" s="46">
        <v>0.25</v>
      </c>
      <c r="AJ19" s="46">
        <v>0.25</v>
      </c>
    </row>
    <row r="20" spans="1:36" s="2" customFormat="1" ht="29.25" customHeight="1" x14ac:dyDescent="0.15">
      <c r="A20" s="33"/>
      <c r="B20" s="34"/>
      <c r="C20" s="81">
        <f t="shared" si="7"/>
        <v>14</v>
      </c>
      <c r="D20" s="84" t="str">
        <f t="shared" si="0"/>
        <v xml:space="preserve">R </v>
      </c>
      <c r="E20" s="84">
        <f t="shared" si="4"/>
        <v>14</v>
      </c>
      <c r="F20" s="88"/>
      <c r="G20" s="89"/>
      <c r="H20" s="36"/>
      <c r="I20" s="37"/>
      <c r="J20" s="37"/>
      <c r="K20" s="38"/>
      <c r="L20" s="18" t="str">
        <f t="shared" si="1"/>
        <v>14年目
R 14年</v>
      </c>
      <c r="M20" s="47">
        <f t="shared" si="2"/>
        <v>7</v>
      </c>
      <c r="N20" s="25">
        <f t="shared" si="3"/>
        <v>0.14299999999999999</v>
      </c>
      <c r="O20" s="39">
        <v>12</v>
      </c>
      <c r="P20" s="27" t="s">
        <v>48</v>
      </c>
      <c r="Q20" s="55">
        <v>12</v>
      </c>
      <c r="R20" s="60">
        <f t="shared" si="8"/>
        <v>0</v>
      </c>
      <c r="S20" s="75">
        <f t="shared" si="9"/>
        <v>920045</v>
      </c>
      <c r="T20" s="75">
        <f t="shared" si="10"/>
        <v>12037256</v>
      </c>
      <c r="U20" s="75">
        <f t="shared" si="5"/>
        <v>-5603381</v>
      </c>
      <c r="V20" s="94">
        <f t="shared" si="11"/>
        <v>2032</v>
      </c>
      <c r="W20" s="75">
        <f t="shared" si="12"/>
        <v>64339</v>
      </c>
      <c r="X20" s="75">
        <f>($I$7+INT(-$I$7*0.95))-SUM($W$7:W20)</f>
        <v>-64341</v>
      </c>
      <c r="Y20" s="57">
        <f>SUM($R$7:R20)</f>
        <v>6433875</v>
      </c>
      <c r="Z20" s="49">
        <f t="shared" si="6"/>
        <v>1</v>
      </c>
      <c r="AA20" s="51"/>
      <c r="AD20" s="49" t="s">
        <v>34</v>
      </c>
      <c r="AE20" s="45">
        <v>5</v>
      </c>
      <c r="AF20" s="46">
        <v>0.2</v>
      </c>
      <c r="AG20" s="46">
        <v>0.2</v>
      </c>
      <c r="AH20" s="45">
        <v>5</v>
      </c>
      <c r="AI20" s="46">
        <v>0.2</v>
      </c>
      <c r="AJ20" s="46">
        <v>0.2</v>
      </c>
    </row>
    <row r="21" spans="1:36" s="2" customFormat="1" ht="29.25" customHeight="1" x14ac:dyDescent="0.15">
      <c r="A21" s="33"/>
      <c r="B21" s="34"/>
      <c r="C21" s="81">
        <f t="shared" si="7"/>
        <v>15</v>
      </c>
      <c r="D21" s="84" t="str">
        <f t="shared" si="0"/>
        <v xml:space="preserve">R </v>
      </c>
      <c r="E21" s="84">
        <f t="shared" si="4"/>
        <v>15</v>
      </c>
      <c r="F21" s="88"/>
      <c r="G21" s="89"/>
      <c r="H21" s="36"/>
      <c r="I21" s="37"/>
      <c r="J21" s="37"/>
      <c r="K21" s="38"/>
      <c r="L21" s="18" t="str">
        <f t="shared" si="1"/>
        <v>15年目
R 15年</v>
      </c>
      <c r="M21" s="47">
        <f t="shared" si="2"/>
        <v>7</v>
      </c>
      <c r="N21" s="25">
        <f t="shared" si="3"/>
        <v>0.14299999999999999</v>
      </c>
      <c r="O21" s="39">
        <v>12</v>
      </c>
      <c r="P21" s="27" t="s">
        <v>48</v>
      </c>
      <c r="Q21" s="55">
        <v>12</v>
      </c>
      <c r="R21" s="60">
        <f t="shared" si="8"/>
        <v>0</v>
      </c>
      <c r="S21" s="75">
        <f t="shared" si="9"/>
        <v>920045</v>
      </c>
      <c r="T21" s="75">
        <f t="shared" si="10"/>
        <v>12957301</v>
      </c>
      <c r="U21" s="75">
        <f t="shared" si="5"/>
        <v>-6523426</v>
      </c>
      <c r="V21" s="94">
        <f t="shared" si="11"/>
        <v>2033</v>
      </c>
      <c r="W21" s="75">
        <f t="shared" si="12"/>
        <v>64339</v>
      </c>
      <c r="X21" s="75">
        <f>($I$7+INT(-$I$7*0.95))-SUM($W$7:W21)</f>
        <v>-128680</v>
      </c>
      <c r="Y21" s="57">
        <f>SUM($R$7:R21)</f>
        <v>6433875</v>
      </c>
      <c r="Z21" s="49">
        <f t="shared" si="6"/>
        <v>1</v>
      </c>
      <c r="AA21" s="51"/>
      <c r="AD21" s="49" t="s">
        <v>72</v>
      </c>
      <c r="AE21" s="45">
        <v>3</v>
      </c>
      <c r="AF21" s="46">
        <v>0.33300000000000002</v>
      </c>
      <c r="AG21" s="46">
        <v>0.33400000000000002</v>
      </c>
      <c r="AH21" s="45">
        <v>3</v>
      </c>
      <c r="AI21" s="46">
        <v>0.33300000000000002</v>
      </c>
      <c r="AJ21" s="46">
        <v>0.33400000000000002</v>
      </c>
    </row>
    <row r="22" spans="1:36" s="2" customFormat="1" ht="29.25" customHeight="1" thickBot="1" x14ac:dyDescent="0.2">
      <c r="A22" s="33"/>
      <c r="B22" s="34"/>
      <c r="C22" s="81">
        <f t="shared" si="7"/>
        <v>16</v>
      </c>
      <c r="D22" s="84" t="str">
        <f t="shared" si="0"/>
        <v xml:space="preserve">R </v>
      </c>
      <c r="E22" s="84">
        <f t="shared" si="4"/>
        <v>16</v>
      </c>
      <c r="F22" s="88"/>
      <c r="G22" s="89"/>
      <c r="H22" s="36"/>
      <c r="I22" s="37"/>
      <c r="J22" s="37"/>
      <c r="K22" s="38"/>
      <c r="L22" s="18" t="str">
        <f t="shared" si="1"/>
        <v>16年目
R 16年</v>
      </c>
      <c r="M22" s="47">
        <f t="shared" si="2"/>
        <v>7</v>
      </c>
      <c r="N22" s="25">
        <f t="shared" si="3"/>
        <v>0.14299999999999999</v>
      </c>
      <c r="O22" s="39">
        <v>12</v>
      </c>
      <c r="P22" s="27" t="s">
        <v>48</v>
      </c>
      <c r="Q22" s="55">
        <v>12</v>
      </c>
      <c r="R22" s="60">
        <f t="shared" si="8"/>
        <v>0</v>
      </c>
      <c r="S22" s="75">
        <f t="shared" si="9"/>
        <v>920045</v>
      </c>
      <c r="T22" s="75">
        <f t="shared" si="10"/>
        <v>13877346</v>
      </c>
      <c r="U22" s="75">
        <f t="shared" si="5"/>
        <v>-7443471</v>
      </c>
      <c r="V22" s="94">
        <f t="shared" si="11"/>
        <v>2034</v>
      </c>
      <c r="W22" s="75">
        <f t="shared" si="12"/>
        <v>64339</v>
      </c>
      <c r="X22" s="75">
        <f>($I$7+INT(-$I$7*0.95))-SUM($W$7:W22)</f>
        <v>-193019</v>
      </c>
      <c r="Y22" s="57">
        <f>SUM($R$7:R22)</f>
        <v>6433875</v>
      </c>
      <c r="Z22" s="49">
        <f t="shared" si="6"/>
        <v>1</v>
      </c>
      <c r="AA22" s="51"/>
      <c r="AD22" s="50" t="s">
        <v>73</v>
      </c>
      <c r="AE22" s="115">
        <v>2</v>
      </c>
      <c r="AF22" s="116">
        <v>0.5</v>
      </c>
      <c r="AG22" s="116">
        <v>0.5</v>
      </c>
      <c r="AH22" s="115">
        <v>2</v>
      </c>
      <c r="AI22" s="116">
        <v>0.5</v>
      </c>
      <c r="AJ22" s="116">
        <v>0.5</v>
      </c>
    </row>
    <row r="23" spans="1:36" s="2" customFormat="1" ht="29.25" customHeight="1" thickBot="1" x14ac:dyDescent="0.2">
      <c r="A23" s="33"/>
      <c r="B23" s="34"/>
      <c r="C23" s="81">
        <f t="shared" si="7"/>
        <v>17</v>
      </c>
      <c r="D23" s="84" t="str">
        <f t="shared" si="0"/>
        <v xml:space="preserve">R </v>
      </c>
      <c r="E23" s="84">
        <f t="shared" si="4"/>
        <v>17</v>
      </c>
      <c r="F23" s="88"/>
      <c r="G23" s="89"/>
      <c r="H23" s="36"/>
      <c r="I23" s="37"/>
      <c r="J23" s="37"/>
      <c r="K23" s="38"/>
      <c r="L23" s="18" t="str">
        <f t="shared" si="1"/>
        <v>17年目
R 17年</v>
      </c>
      <c r="M23" s="47">
        <f t="shared" si="2"/>
        <v>7</v>
      </c>
      <c r="N23" s="25">
        <f t="shared" si="3"/>
        <v>0.14299999999999999</v>
      </c>
      <c r="O23" s="39">
        <v>12</v>
      </c>
      <c r="P23" s="27" t="s">
        <v>48</v>
      </c>
      <c r="Q23" s="55">
        <v>12</v>
      </c>
      <c r="R23" s="60">
        <f t="shared" si="8"/>
        <v>0</v>
      </c>
      <c r="S23" s="75">
        <f t="shared" si="9"/>
        <v>920045</v>
      </c>
      <c r="T23" s="75">
        <f t="shared" si="10"/>
        <v>14797391</v>
      </c>
      <c r="U23" s="75">
        <f t="shared" si="5"/>
        <v>-8363516</v>
      </c>
      <c r="V23" s="94">
        <f t="shared" si="11"/>
        <v>2035</v>
      </c>
      <c r="W23" s="75">
        <f t="shared" si="12"/>
        <v>64339</v>
      </c>
      <c r="X23" s="75">
        <f>($I$7+INT(-$I$7*0.95))-SUM($W$7:W23)</f>
        <v>-257358</v>
      </c>
      <c r="Y23" s="57">
        <f>SUM($R$7:R23)</f>
        <v>6433875</v>
      </c>
      <c r="Z23" s="49">
        <f t="shared" si="6"/>
        <v>1</v>
      </c>
      <c r="AA23" s="51"/>
      <c r="AD23" s="122" t="s">
        <v>105</v>
      </c>
      <c r="AE23" s="123">
        <v>2</v>
      </c>
      <c r="AF23" s="124">
        <v>0.5</v>
      </c>
      <c r="AG23" s="124">
        <v>0.5</v>
      </c>
      <c r="AH23" s="125">
        <v>2</v>
      </c>
      <c r="AI23" s="124">
        <v>0.5</v>
      </c>
      <c r="AJ23" s="126">
        <v>0.5</v>
      </c>
    </row>
    <row r="24" spans="1:36" s="2" customFormat="1" ht="29.25" customHeight="1" thickBot="1" x14ac:dyDescent="0.2">
      <c r="A24" s="33"/>
      <c r="B24" s="34"/>
      <c r="C24" s="81">
        <f t="shared" si="7"/>
        <v>18</v>
      </c>
      <c r="D24" s="84" t="str">
        <f t="shared" si="0"/>
        <v xml:space="preserve">R </v>
      </c>
      <c r="E24" s="84">
        <f t="shared" si="4"/>
        <v>18</v>
      </c>
      <c r="F24" s="88"/>
      <c r="G24" s="89"/>
      <c r="H24" s="36"/>
      <c r="I24" s="37"/>
      <c r="J24" s="37"/>
      <c r="K24" s="38"/>
      <c r="L24" s="18" t="str">
        <f t="shared" si="1"/>
        <v>18年目
R 18年</v>
      </c>
      <c r="M24" s="47">
        <f t="shared" si="2"/>
        <v>7</v>
      </c>
      <c r="N24" s="25">
        <f t="shared" si="3"/>
        <v>0.14299999999999999</v>
      </c>
      <c r="O24" s="39">
        <v>12</v>
      </c>
      <c r="P24" s="27" t="s">
        <v>48</v>
      </c>
      <c r="Q24" s="55">
        <v>12</v>
      </c>
      <c r="R24" s="61">
        <f t="shared" si="8"/>
        <v>0</v>
      </c>
      <c r="S24" s="76">
        <f t="shared" si="9"/>
        <v>920045</v>
      </c>
      <c r="T24" s="76">
        <f t="shared" si="10"/>
        <v>15717436</v>
      </c>
      <c r="U24" s="76">
        <f t="shared" si="5"/>
        <v>-9283561</v>
      </c>
      <c r="V24" s="95">
        <f t="shared" si="11"/>
        <v>2036</v>
      </c>
      <c r="W24" s="76">
        <f t="shared" si="12"/>
        <v>64339</v>
      </c>
      <c r="X24" s="76">
        <f>($I$7+INT(-$I$7*0.95))-SUM($W$7:W24)</f>
        <v>-321697</v>
      </c>
      <c r="Y24" s="57">
        <f>SUM($R$7:R24)</f>
        <v>6433875</v>
      </c>
      <c r="Z24" s="49">
        <f t="shared" si="6"/>
        <v>1</v>
      </c>
      <c r="AA24" s="52"/>
      <c r="AD24" s="117"/>
      <c r="AE24" s="119"/>
      <c r="AF24" s="120"/>
      <c r="AG24" s="120"/>
      <c r="AH24" s="119"/>
      <c r="AI24" s="120"/>
      <c r="AJ24" s="120"/>
    </row>
    <row r="25" spans="1:36" s="2" customFormat="1" ht="13.5" customHeight="1" x14ac:dyDescent="0.15">
      <c r="C25" s="72"/>
      <c r="D25" s="82"/>
      <c r="E25" s="82"/>
      <c r="K25" s="3"/>
      <c r="N25" s="3"/>
      <c r="O25" s="4"/>
      <c r="Q25" s="5"/>
      <c r="S25" s="72"/>
      <c r="T25" s="72"/>
      <c r="U25" s="72"/>
      <c r="V25" s="91"/>
      <c r="W25" s="72"/>
      <c r="X25" s="72"/>
      <c r="AD25" s="117"/>
      <c r="AE25" s="118"/>
      <c r="AF25" s="118"/>
      <c r="AG25" s="118"/>
      <c r="AH25" s="118"/>
      <c r="AI25" s="118"/>
      <c r="AJ25" s="118"/>
    </row>
    <row r="26" spans="1:36" s="2" customFormat="1" ht="13.5" customHeight="1" x14ac:dyDescent="0.15">
      <c r="C26" s="72"/>
      <c r="D26" s="82"/>
      <c r="E26" s="82"/>
      <c r="K26" s="3"/>
      <c r="N26" s="3"/>
      <c r="O26" s="4"/>
      <c r="Q26" s="5"/>
      <c r="S26" s="72"/>
      <c r="T26" s="72"/>
      <c r="U26" s="72"/>
      <c r="V26" s="91"/>
      <c r="W26" s="72"/>
      <c r="X26" s="72"/>
      <c r="AD26" s="117"/>
      <c r="AE26" s="118"/>
      <c r="AF26" s="118"/>
      <c r="AG26" s="118"/>
      <c r="AH26" s="118"/>
      <c r="AI26" s="118"/>
      <c r="AJ26" s="118"/>
    </row>
    <row r="27" spans="1:36" s="2" customFormat="1" ht="13.5" customHeight="1" x14ac:dyDescent="0.15">
      <c r="C27" s="72"/>
      <c r="D27" s="82"/>
      <c r="E27" s="82"/>
      <c r="K27" s="3"/>
      <c r="N27" s="3"/>
      <c r="O27" s="4"/>
      <c r="Q27" s="5"/>
      <c r="S27" s="72"/>
      <c r="T27" s="72"/>
      <c r="U27" s="72"/>
      <c r="V27" s="91"/>
      <c r="W27" s="72"/>
      <c r="X27" s="72"/>
      <c r="AD27" s="117"/>
      <c r="AE27" s="119"/>
      <c r="AF27" s="120"/>
      <c r="AG27" s="120"/>
      <c r="AH27" s="119"/>
      <c r="AI27" s="120"/>
      <c r="AJ27" s="120"/>
    </row>
    <row r="28" spans="1:36" s="2" customFormat="1" ht="13.5" customHeight="1" x14ac:dyDescent="0.15">
      <c r="C28" s="72"/>
      <c r="D28" s="82"/>
      <c r="E28" s="82"/>
      <c r="K28" s="3"/>
      <c r="N28" s="3"/>
      <c r="O28" s="4"/>
      <c r="Q28" s="5"/>
      <c r="S28" s="72"/>
      <c r="T28" s="72"/>
      <c r="U28" s="72"/>
      <c r="V28" s="91"/>
      <c r="W28" s="72"/>
      <c r="X28" s="72"/>
      <c r="AD28" s="6"/>
    </row>
    <row r="29" spans="1:36" ht="13.5" customHeight="1" x14ac:dyDescent="0.15">
      <c r="AD29" s="6"/>
      <c r="AE29" s="2"/>
      <c r="AF29" s="2"/>
      <c r="AG29" s="2"/>
      <c r="AH29" s="2"/>
      <c r="AI29" s="2"/>
      <c r="AJ29" s="2"/>
    </row>
    <row r="30" spans="1:36" ht="13.5" customHeight="1" x14ac:dyDescent="0.15">
      <c r="AD30" s="6"/>
      <c r="AE30" s="2"/>
      <c r="AF30" s="2"/>
      <c r="AG30" s="2"/>
      <c r="AH30" s="2"/>
      <c r="AI30" s="2"/>
      <c r="AJ30" s="2"/>
    </row>
    <row r="31" spans="1:36" ht="13.5" customHeight="1" x14ac:dyDescent="0.15">
      <c r="AD31" s="6"/>
      <c r="AE31" s="2"/>
      <c r="AF31" s="2"/>
      <c r="AG31" s="2"/>
      <c r="AH31" s="2"/>
      <c r="AI31" s="2"/>
      <c r="AJ31" s="2"/>
    </row>
    <row r="32" spans="1:36" ht="13.5" customHeight="1" x14ac:dyDescent="0.15">
      <c r="AD32" s="6"/>
      <c r="AE32" s="2"/>
      <c r="AF32" s="2"/>
      <c r="AG32" s="2"/>
      <c r="AH32" s="2"/>
      <c r="AI32" s="2"/>
      <c r="AJ32" s="2"/>
    </row>
    <row r="33" spans="30:36" ht="13.5" customHeight="1" x14ac:dyDescent="0.15">
      <c r="AD33" s="6"/>
      <c r="AE33" s="2"/>
      <c r="AF33" s="2"/>
      <c r="AG33" s="2"/>
      <c r="AH33" s="2"/>
      <c r="AI33" s="2"/>
      <c r="AJ33" s="2"/>
    </row>
    <row r="34" spans="30:36" ht="13.5" customHeight="1" x14ac:dyDescent="0.15"/>
    <row r="35" spans="30:36" ht="13.5" customHeight="1" x14ac:dyDescent="0.15"/>
    <row r="36" spans="30:36" ht="13.5" customHeight="1" x14ac:dyDescent="0.15"/>
    <row r="37" spans="30:36" ht="13.5" customHeight="1" x14ac:dyDescent="0.15"/>
    <row r="38" spans="30:36" ht="13.5" customHeight="1" x14ac:dyDescent="0.15"/>
    <row r="39" spans="30:36" ht="13.5" customHeight="1" x14ac:dyDescent="0.15"/>
    <row r="40" spans="30:36" ht="13.5" customHeight="1" x14ac:dyDescent="0.15"/>
    <row r="41" spans="30:36" ht="13.5" customHeight="1" x14ac:dyDescent="0.15"/>
    <row r="42" spans="30:36" ht="13.5" customHeight="1" x14ac:dyDescent="0.15"/>
    <row r="43" spans="30:36" ht="13.5" customHeight="1" x14ac:dyDescent="0.15"/>
    <row r="44" spans="30:36" ht="13.5" customHeight="1" x14ac:dyDescent="0.15"/>
    <row r="45" spans="30:36" ht="13.5" customHeight="1" x14ac:dyDescent="0.15"/>
    <row r="46" spans="30:36" ht="13.5" customHeight="1" x14ac:dyDescent="0.15"/>
    <row r="47" spans="30:36" ht="13.5" customHeight="1" x14ac:dyDescent="0.15"/>
    <row r="48" spans="30:36"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sheetData>
  <sheetProtection sheet="1" selectLockedCells="1"/>
  <mergeCells count="4">
    <mergeCell ref="O5:Q5"/>
    <mergeCell ref="F5:H5"/>
    <mergeCell ref="A2:AA2"/>
    <mergeCell ref="A1:AA1"/>
  </mergeCells>
  <phoneticPr fontId="2"/>
  <dataValidations count="4">
    <dataValidation type="whole" operator="greaterThanOrEqual" allowBlank="1" showErrorMessage="1" sqref="I7 G7 V7">
      <formula1>0</formula1>
    </dataValidation>
    <dataValidation type="whole" allowBlank="1" showErrorMessage="1" sqref="H7">
      <formula1>1</formula1>
      <formula2>12</formula2>
    </dataValidation>
    <dataValidation type="list" allowBlank="1" showInputMessage="1" showErrorMessage="1" sqref="F7">
      <formula1>$AL$7:$AL$9</formula1>
    </dataValidation>
    <dataValidation type="list" allowBlank="1" sqref="A7">
      <formula1>$AD$7:$AD$24</formula1>
    </dataValidation>
  </dataValidations>
  <pageMargins left="0.39370078740157483" right="0.19685039370078741" top="0.39370078740157483" bottom="0.39370078740157483" header="0.19685039370078741" footer="0.19685039370078741"/>
  <pageSetup paperSize="9" scale="88" orientation="landscape" cellComments="asDisplayed" r:id="rId1"/>
  <headerFooter alignWithMargins="0">
    <oddFooter>&amp;L◆このシートでは、1円未満の端数を切り上げて計算しています。</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12"/>
  <sheetViews>
    <sheetView zoomScale="75" zoomScaleNormal="75" workbookViewId="0">
      <selection activeCell="X19" sqref="X19"/>
    </sheetView>
  </sheetViews>
  <sheetFormatPr defaultColWidth="9" defaultRowHeight="13.5" x14ac:dyDescent="0.15"/>
  <cols>
    <col min="1" max="1" width="15" style="40" customWidth="1"/>
    <col min="2" max="2" width="5" style="40" customWidth="1"/>
    <col min="3" max="6" width="5" style="77" hidden="1" customWidth="1"/>
    <col min="7" max="8" width="5.125" style="40" customWidth="1"/>
    <col min="9" max="9" width="4.25" style="40" customWidth="1"/>
    <col min="10" max="11" width="14.375" style="40" customWidth="1"/>
    <col min="12" max="12" width="4.625" style="41" customWidth="1"/>
    <col min="13" max="13" width="6.625" style="40" customWidth="1"/>
    <col min="14" max="14" width="5.25" style="40" bestFit="1" customWidth="1"/>
    <col min="15" max="15" width="6.625" style="41" customWidth="1"/>
    <col min="16" max="16" width="3.125" style="42" customWidth="1"/>
    <col min="17" max="17" width="1.75" style="40" customWidth="1"/>
    <col min="18" max="18" width="3.125" style="43" customWidth="1"/>
    <col min="19" max="19" width="12.5" style="40" customWidth="1"/>
    <col min="20" max="22" width="14.375" style="40" customWidth="1"/>
    <col min="23" max="23" width="6.625" style="40" customWidth="1"/>
    <col min="24" max="24" width="26.75" style="44" bestFit="1" customWidth="1"/>
    <col min="25" max="25" width="9.625" style="40" customWidth="1"/>
    <col min="26" max="28" width="12.625" style="40" customWidth="1"/>
    <col min="29" max="29" width="6.625" style="40" customWidth="1"/>
    <col min="30" max="16384" width="9" style="40"/>
  </cols>
  <sheetData>
    <row r="1" spans="1:29" x14ac:dyDescent="0.15">
      <c r="A1" s="133" t="s">
        <v>109</v>
      </c>
      <c r="B1" s="133"/>
      <c r="C1" s="133"/>
      <c r="D1" s="133"/>
      <c r="E1" s="133"/>
      <c r="F1" s="133"/>
      <c r="G1" s="133"/>
      <c r="H1" s="133"/>
      <c r="I1" s="133"/>
      <c r="J1" s="133"/>
      <c r="K1" s="133"/>
      <c r="L1" s="133"/>
      <c r="M1" s="133"/>
      <c r="N1" s="133"/>
      <c r="O1" s="133"/>
      <c r="P1" s="133"/>
      <c r="Q1" s="133"/>
      <c r="R1" s="133"/>
      <c r="S1" s="133"/>
      <c r="T1" s="133"/>
      <c r="U1" s="133"/>
      <c r="V1" s="133"/>
    </row>
    <row r="2" spans="1:29" customFormat="1" ht="27" customHeight="1" x14ac:dyDescent="0.3">
      <c r="A2" s="128" t="s">
        <v>106</v>
      </c>
      <c r="B2" s="128"/>
      <c r="C2" s="128"/>
      <c r="D2" s="128"/>
      <c r="E2" s="128"/>
      <c r="F2" s="128"/>
      <c r="G2" s="128"/>
      <c r="H2" s="128"/>
      <c r="I2" s="128"/>
      <c r="J2" s="128"/>
      <c r="K2" s="128"/>
      <c r="L2" s="128"/>
      <c r="M2" s="128"/>
      <c r="N2" s="128"/>
      <c r="O2" s="128"/>
      <c r="P2" s="128"/>
      <c r="Q2" s="128"/>
      <c r="R2" s="128"/>
      <c r="S2" s="128"/>
      <c r="T2" s="128"/>
      <c r="U2" s="128"/>
      <c r="V2" s="128"/>
      <c r="X2" s="1"/>
    </row>
    <row r="3" spans="1:29" s="2" customFormat="1" ht="20.100000000000001" customHeight="1" thickBot="1" x14ac:dyDescent="0.2">
      <c r="A3" s="2" t="s">
        <v>111</v>
      </c>
      <c r="C3" s="72" t="s">
        <v>78</v>
      </c>
      <c r="D3" s="72" t="s">
        <v>78</v>
      </c>
      <c r="E3" s="72" t="s">
        <v>78</v>
      </c>
      <c r="F3" s="72"/>
      <c r="L3" s="3"/>
      <c r="O3" s="3"/>
      <c r="P3" s="4"/>
      <c r="R3" s="5"/>
      <c r="U3" s="4"/>
      <c r="V3" s="4" t="s">
        <v>1</v>
      </c>
      <c r="X3" s="6"/>
    </row>
    <row r="4" spans="1:29" s="2" customFormat="1" ht="14.25" x14ac:dyDescent="0.15">
      <c r="A4" s="7"/>
      <c r="B4" s="8"/>
      <c r="C4" s="78"/>
      <c r="D4" s="78"/>
      <c r="E4" s="78"/>
      <c r="F4" s="78"/>
      <c r="G4" s="8"/>
      <c r="H4" s="12"/>
      <c r="I4" s="9"/>
      <c r="J4" s="7" t="s">
        <v>2</v>
      </c>
      <c r="K4" s="7" t="s">
        <v>3</v>
      </c>
      <c r="L4" s="10"/>
      <c r="M4" s="7"/>
      <c r="N4" s="7"/>
      <c r="O4" s="7" t="s">
        <v>4</v>
      </c>
      <c r="P4" s="11" t="s">
        <v>5</v>
      </c>
      <c r="Q4" s="12"/>
      <c r="R4" s="54"/>
      <c r="S4" s="58" t="s">
        <v>6</v>
      </c>
      <c r="T4" s="9"/>
      <c r="U4" s="7" t="s">
        <v>7</v>
      </c>
      <c r="V4" s="7"/>
      <c r="X4" s="6"/>
    </row>
    <row r="5" spans="1:29" s="16" customFormat="1" ht="45.75" customHeight="1" x14ac:dyDescent="0.15">
      <c r="A5" s="99" t="s">
        <v>9</v>
      </c>
      <c r="B5" s="100" t="s">
        <v>10</v>
      </c>
      <c r="C5" s="101" t="s">
        <v>80</v>
      </c>
      <c r="D5" s="101" t="s">
        <v>79</v>
      </c>
      <c r="E5" s="101" t="s">
        <v>82</v>
      </c>
      <c r="F5" s="101" t="s">
        <v>81</v>
      </c>
      <c r="G5" s="136" t="s">
        <v>84</v>
      </c>
      <c r="H5" s="137"/>
      <c r="I5" s="138"/>
      <c r="J5" s="99" t="s">
        <v>12</v>
      </c>
      <c r="K5" s="99" t="s">
        <v>13</v>
      </c>
      <c r="L5" s="98" t="s">
        <v>14</v>
      </c>
      <c r="M5" s="99" t="s">
        <v>8</v>
      </c>
      <c r="N5" s="98" t="s">
        <v>15</v>
      </c>
      <c r="O5" s="99" t="s">
        <v>16</v>
      </c>
      <c r="P5" s="134" t="s">
        <v>17</v>
      </c>
      <c r="Q5" s="135"/>
      <c r="R5" s="135"/>
      <c r="S5" s="102" t="s">
        <v>18</v>
      </c>
      <c r="T5" s="103" t="s">
        <v>19</v>
      </c>
      <c r="U5" s="99" t="s">
        <v>20</v>
      </c>
      <c r="V5" s="98" t="str">
        <f>"償却可能限度額"&amp;
IF(J7=K7,"（㋑－１）","（㋑×９５％）")</f>
        <v>償却可能限度額（㋑－１）</v>
      </c>
      <c r="X5" s="104" t="s">
        <v>9</v>
      </c>
      <c r="Y5" s="105" t="s">
        <v>25</v>
      </c>
      <c r="Z5" s="105" t="s">
        <v>70</v>
      </c>
      <c r="AA5" s="105" t="s">
        <v>71</v>
      </c>
      <c r="AB5" s="17"/>
      <c r="AC5" s="105" t="s">
        <v>104</v>
      </c>
    </row>
    <row r="6" spans="1:29" s="16" customFormat="1" ht="14.25" x14ac:dyDescent="0.15">
      <c r="A6" s="13"/>
      <c r="B6" s="14"/>
      <c r="C6" s="79"/>
      <c r="D6" s="79"/>
      <c r="E6" s="79"/>
      <c r="F6" s="79"/>
      <c r="G6" s="86" t="s">
        <v>79</v>
      </c>
      <c r="H6" s="87" t="s">
        <v>21</v>
      </c>
      <c r="I6" s="97" t="s">
        <v>22</v>
      </c>
      <c r="J6" s="13"/>
      <c r="K6" s="13"/>
      <c r="L6" s="15"/>
      <c r="M6" s="13"/>
      <c r="N6" s="15"/>
      <c r="O6" s="13"/>
      <c r="P6" s="69"/>
      <c r="Q6" s="70"/>
      <c r="R6" s="70"/>
      <c r="S6" s="59"/>
      <c r="T6" s="56"/>
      <c r="U6" s="13"/>
      <c r="V6" s="98"/>
      <c r="W6" s="17"/>
      <c r="X6" s="106"/>
      <c r="Y6" s="13"/>
      <c r="Z6" s="13"/>
      <c r="AA6" s="13"/>
      <c r="AB6" s="17"/>
      <c r="AC6" s="99"/>
    </row>
    <row r="7" spans="1:29" s="2" customFormat="1" ht="23.25" customHeight="1" x14ac:dyDescent="0.15">
      <c r="A7" s="68" t="s">
        <v>40</v>
      </c>
      <c r="B7" s="48">
        <v>1</v>
      </c>
      <c r="C7" s="80">
        <v>1</v>
      </c>
      <c r="D7" s="80" t="str">
        <f t="shared" ref="D7:D29" si="0">IF(F7&gt;2018,"R ",IF(F7&gt;1988,"H ",IF(F7&lt;1989,"S ")))</f>
        <v xml:space="preserve">R </v>
      </c>
      <c r="E7" s="80">
        <f>IF(F7&gt;2018,F7-2018,IF(F7&gt;1988,F7-1988,IF(F7&lt;1989,F7-1925)))</f>
        <v>1</v>
      </c>
      <c r="F7" s="80">
        <f>H7+IF(G7="S",1925,IF(G7="H",1988,IF(G7="R",2018)))</f>
        <v>2019</v>
      </c>
      <c r="G7" s="121" t="s">
        <v>112</v>
      </c>
      <c r="H7" s="108">
        <v>1</v>
      </c>
      <c r="I7" s="66">
        <v>4</v>
      </c>
      <c r="J7" s="67">
        <v>6487000</v>
      </c>
      <c r="K7" s="53">
        <f>-INT(-J7*IF(OR(F7&gt;=2008,AND(F7&gt;=2007,I7&gt;=4)),1,0.9))</f>
        <v>6487000</v>
      </c>
      <c r="L7" s="24" t="str">
        <f>IF(OR(F7&gt;=2008,AND(F7&gt;=2007,I7&gt;=4)),"定額","旧定額")</f>
        <v>定額</v>
      </c>
      <c r="M7" s="18" t="str">
        <f>C7&amp;"年目"&amp;CHAR(10)&amp;D7&amp;E7&amp;"年"</f>
        <v>1年目
R 1年</v>
      </c>
      <c r="N7" s="47">
        <f>IF(ISNA(VLOOKUP(A7,X7:Z19,2,0)),"",VLOOKUP(A7,X7:Z19,2,0))</f>
        <v>15</v>
      </c>
      <c r="O7" s="25">
        <f>IF(ISNA(VLOOKUP(A7,X7:AA19,3,0)),"",VLOOKUP(A7,X7:AA19,IF(L7="旧定額",3,4),0))</f>
        <v>6.7000000000000004E-2</v>
      </c>
      <c r="P7" s="39">
        <f>IF(I7="",12,12-I7+1)</f>
        <v>9</v>
      </c>
      <c r="Q7" s="27" t="s">
        <v>38</v>
      </c>
      <c r="R7" s="55">
        <v>12</v>
      </c>
      <c r="S7" s="60">
        <f>-INT(-K7*O7*(P7/12))</f>
        <v>325972</v>
      </c>
      <c r="T7" s="57">
        <f>SUM($S$7:S7)</f>
        <v>325972</v>
      </c>
      <c r="U7" s="49">
        <f t="shared" ref="U7:U25" si="1">$J$7-T7</f>
        <v>6161028</v>
      </c>
      <c r="V7" s="50">
        <f>IF(J7=K7,-INT(-J7+1),-INT(-J7*0.95))</f>
        <v>6486999</v>
      </c>
      <c r="W7" s="30"/>
      <c r="X7" s="28" t="s">
        <v>40</v>
      </c>
      <c r="Y7" s="45">
        <v>15</v>
      </c>
      <c r="Z7" s="46">
        <v>6.6000000000000003E-2</v>
      </c>
      <c r="AA7" s="46">
        <v>6.7000000000000004E-2</v>
      </c>
      <c r="AB7" s="32"/>
      <c r="AC7" s="114" t="s">
        <v>83</v>
      </c>
    </row>
    <row r="8" spans="1:29" s="2" customFormat="1" ht="23.25" customHeight="1" x14ac:dyDescent="0.15">
      <c r="A8" s="33"/>
      <c r="B8" s="34"/>
      <c r="C8" s="81">
        <f>C7+1</f>
        <v>2</v>
      </c>
      <c r="D8" s="81" t="str">
        <f t="shared" si="0"/>
        <v xml:space="preserve">R </v>
      </c>
      <c r="E8" s="81">
        <f t="shared" ref="E8:E29" si="2">IF(F8&gt;2018,F8-2018,IF(F8&gt;1988,F8-1988,IF(F8&lt;1989,F8-1925)))</f>
        <v>2</v>
      </c>
      <c r="F8" s="81">
        <f>F7+1</f>
        <v>2020</v>
      </c>
      <c r="G8" s="88"/>
      <c r="H8" s="109"/>
      <c r="I8" s="36"/>
      <c r="J8" s="37"/>
      <c r="K8" s="37"/>
      <c r="L8" s="38"/>
      <c r="M8" s="18" t="str">
        <f t="shared" ref="M8:M29" si="3">C8&amp;"年目"&amp;CHAR(10)&amp;D8&amp;E8&amp;"年"</f>
        <v>2年目
R 2年</v>
      </c>
      <c r="N8" s="47">
        <f>N7</f>
        <v>15</v>
      </c>
      <c r="O8" s="25">
        <f>O7</f>
        <v>6.7000000000000004E-2</v>
      </c>
      <c r="P8" s="39">
        <v>12</v>
      </c>
      <c r="Q8" s="27" t="s">
        <v>38</v>
      </c>
      <c r="R8" s="55">
        <v>12</v>
      </c>
      <c r="S8" s="60">
        <f>IF(T7&gt;=$V$7,IF(T7+ROUND(($J$7+INT(-$J$7*0.95)-1)/5,0)&gt;=$J$7,U7-1,-INT(-($J$7-INT($J$7*0.95)-1)/5)),IF(-INT(-$K$7*$O$7*(P8/12))&lt;($V$7-T7),-INT(-$K$7*$O$7*(P8/12)),($V$7-T7)))</f>
        <v>434629</v>
      </c>
      <c r="T8" s="57">
        <f>SUM($S$7:S8)</f>
        <v>760601</v>
      </c>
      <c r="U8" s="49">
        <f t="shared" si="1"/>
        <v>5726399</v>
      </c>
      <c r="V8" s="51"/>
      <c r="W8" s="30"/>
      <c r="X8" s="28" t="s">
        <v>42</v>
      </c>
      <c r="Y8" s="45">
        <v>15</v>
      </c>
      <c r="Z8" s="46">
        <v>6.6000000000000003E-2</v>
      </c>
      <c r="AA8" s="46">
        <v>6.7000000000000004E-2</v>
      </c>
      <c r="AB8" s="32"/>
      <c r="AC8" s="114" t="s">
        <v>103</v>
      </c>
    </row>
    <row r="9" spans="1:29" s="2" customFormat="1" ht="23.25" customHeight="1" x14ac:dyDescent="0.15">
      <c r="A9" s="33"/>
      <c r="B9" s="34"/>
      <c r="C9" s="81">
        <f t="shared" ref="C9:C29" si="4">C8+1</f>
        <v>3</v>
      </c>
      <c r="D9" s="81" t="str">
        <f t="shared" si="0"/>
        <v xml:space="preserve">R </v>
      </c>
      <c r="E9" s="81">
        <f t="shared" si="2"/>
        <v>3</v>
      </c>
      <c r="F9" s="81">
        <f t="shared" ref="F9:F29" si="5">F8+1</f>
        <v>2021</v>
      </c>
      <c r="G9" s="88"/>
      <c r="H9" s="89"/>
      <c r="I9" s="36"/>
      <c r="J9" s="37"/>
      <c r="K9" s="37"/>
      <c r="L9" s="38"/>
      <c r="M9" s="18" t="str">
        <f t="shared" si="3"/>
        <v>3年目
R 3年</v>
      </c>
      <c r="N9" s="47">
        <f t="shared" ref="N9:N29" si="6">N8</f>
        <v>15</v>
      </c>
      <c r="O9" s="25">
        <f t="shared" ref="O9:O29" si="7">O8</f>
        <v>6.7000000000000004E-2</v>
      </c>
      <c r="P9" s="39">
        <v>12</v>
      </c>
      <c r="Q9" s="27" t="s">
        <v>39</v>
      </c>
      <c r="R9" s="55">
        <v>12</v>
      </c>
      <c r="S9" s="60">
        <f t="shared" ref="S9:S29" si="8">IF(T8&gt;=$V$7,IF(T8+ROUND(($J$7+INT(-$J$7*0.95)-1)/5,0)&gt;=$J$7,U8-1,-INT(-($J$7-INT($J$7*0.95)-1)/5)),IF(-INT(-$K$7*$O$7*(P9/12))&lt;($V$7-T8),-INT(-$K$7*$O$7*(P9/12)),($V$7-T8)))</f>
        <v>434629</v>
      </c>
      <c r="T9" s="57">
        <f>SUM($S$7:S9)</f>
        <v>1195230</v>
      </c>
      <c r="U9" s="49">
        <f t="shared" si="1"/>
        <v>5291770</v>
      </c>
      <c r="V9" s="51"/>
      <c r="W9" s="30"/>
      <c r="X9" s="28" t="s">
        <v>41</v>
      </c>
      <c r="Y9" s="45">
        <v>17</v>
      </c>
      <c r="Z9" s="46">
        <v>5.8000000000000003E-2</v>
      </c>
      <c r="AA9" s="46">
        <v>5.8999999999999997E-2</v>
      </c>
      <c r="AB9" s="32"/>
      <c r="AC9" s="113" t="s">
        <v>113</v>
      </c>
    </row>
    <row r="10" spans="1:29" s="2" customFormat="1" ht="23.25" customHeight="1" x14ac:dyDescent="0.15">
      <c r="A10" s="33"/>
      <c r="B10" s="34"/>
      <c r="C10" s="81">
        <f t="shared" si="4"/>
        <v>4</v>
      </c>
      <c r="D10" s="81" t="str">
        <f t="shared" si="0"/>
        <v xml:space="preserve">R </v>
      </c>
      <c r="E10" s="81">
        <f t="shared" si="2"/>
        <v>4</v>
      </c>
      <c r="F10" s="81">
        <f t="shared" si="5"/>
        <v>2022</v>
      </c>
      <c r="G10" s="88"/>
      <c r="H10" s="89"/>
      <c r="I10" s="36"/>
      <c r="J10" s="37"/>
      <c r="K10" s="37"/>
      <c r="L10" s="38"/>
      <c r="M10" s="18" t="str">
        <f t="shared" si="3"/>
        <v>4年目
R 4年</v>
      </c>
      <c r="N10" s="47">
        <f t="shared" si="6"/>
        <v>15</v>
      </c>
      <c r="O10" s="25">
        <f t="shared" si="7"/>
        <v>6.7000000000000004E-2</v>
      </c>
      <c r="P10" s="39">
        <v>12</v>
      </c>
      <c r="Q10" s="27" t="s">
        <v>39</v>
      </c>
      <c r="R10" s="55">
        <v>12</v>
      </c>
      <c r="S10" s="60">
        <f t="shared" si="8"/>
        <v>434629</v>
      </c>
      <c r="T10" s="57">
        <f>SUM($S$7:S10)</f>
        <v>1629859</v>
      </c>
      <c r="U10" s="49">
        <f t="shared" si="1"/>
        <v>4857141</v>
      </c>
      <c r="V10" s="51"/>
      <c r="W10" s="30"/>
      <c r="X10" s="28" t="s">
        <v>43</v>
      </c>
      <c r="Y10" s="45">
        <v>17</v>
      </c>
      <c r="Z10" s="46">
        <v>5.8000000000000003E-2</v>
      </c>
      <c r="AA10" s="46">
        <v>5.8999999999999997E-2</v>
      </c>
      <c r="AB10" s="32"/>
    </row>
    <row r="11" spans="1:29" s="2" customFormat="1" ht="23.25" customHeight="1" x14ac:dyDescent="0.15">
      <c r="A11" s="33"/>
      <c r="B11" s="34"/>
      <c r="C11" s="81">
        <f t="shared" si="4"/>
        <v>5</v>
      </c>
      <c r="D11" s="81" t="str">
        <f t="shared" si="0"/>
        <v xml:space="preserve">R </v>
      </c>
      <c r="E11" s="81">
        <f t="shared" si="2"/>
        <v>5</v>
      </c>
      <c r="F11" s="81">
        <f t="shared" si="5"/>
        <v>2023</v>
      </c>
      <c r="G11" s="88"/>
      <c r="H11" s="89"/>
      <c r="I11" s="36"/>
      <c r="J11" s="37"/>
      <c r="K11" s="37"/>
      <c r="L11" s="38"/>
      <c r="M11" s="18" t="str">
        <f t="shared" si="3"/>
        <v>5年目
R 5年</v>
      </c>
      <c r="N11" s="47">
        <f t="shared" si="6"/>
        <v>15</v>
      </c>
      <c r="O11" s="25">
        <f t="shared" si="7"/>
        <v>6.7000000000000004E-2</v>
      </c>
      <c r="P11" s="39">
        <v>12</v>
      </c>
      <c r="Q11" s="27" t="s">
        <v>23</v>
      </c>
      <c r="R11" s="55">
        <v>12</v>
      </c>
      <c r="S11" s="60">
        <f t="shared" si="8"/>
        <v>434629</v>
      </c>
      <c r="T11" s="57">
        <f>SUM($S$7:S11)</f>
        <v>2064488</v>
      </c>
      <c r="U11" s="49">
        <f t="shared" si="1"/>
        <v>4422512</v>
      </c>
      <c r="V11" s="51"/>
      <c r="W11" s="30"/>
      <c r="X11" s="28" t="s">
        <v>44</v>
      </c>
      <c r="Y11" s="45">
        <v>17</v>
      </c>
      <c r="Z11" s="46">
        <v>5.8000000000000003E-2</v>
      </c>
      <c r="AA11" s="46">
        <v>5.8999999999999997E-2</v>
      </c>
      <c r="AB11" s="32"/>
    </row>
    <row r="12" spans="1:29" s="2" customFormat="1" ht="23.25" customHeight="1" x14ac:dyDescent="0.15">
      <c r="A12" s="33"/>
      <c r="B12" s="34"/>
      <c r="C12" s="81">
        <f t="shared" si="4"/>
        <v>6</v>
      </c>
      <c r="D12" s="81" t="str">
        <f t="shared" si="0"/>
        <v xml:space="preserve">R </v>
      </c>
      <c r="E12" s="81">
        <f t="shared" si="2"/>
        <v>6</v>
      </c>
      <c r="F12" s="81">
        <f t="shared" si="5"/>
        <v>2024</v>
      </c>
      <c r="G12" s="88"/>
      <c r="H12" s="89"/>
      <c r="I12" s="36"/>
      <c r="J12" s="37"/>
      <c r="K12" s="37"/>
      <c r="L12" s="38"/>
      <c r="M12" s="18" t="str">
        <f t="shared" si="3"/>
        <v>6年目
R 6年</v>
      </c>
      <c r="N12" s="47">
        <f t="shared" si="6"/>
        <v>15</v>
      </c>
      <c r="O12" s="25">
        <f t="shared" si="7"/>
        <v>6.7000000000000004E-2</v>
      </c>
      <c r="P12" s="39">
        <v>12</v>
      </c>
      <c r="Q12" s="27" t="s">
        <v>23</v>
      </c>
      <c r="R12" s="55">
        <v>12</v>
      </c>
      <c r="S12" s="60">
        <f t="shared" si="8"/>
        <v>434629</v>
      </c>
      <c r="T12" s="57">
        <f>SUM($S$7:S12)</f>
        <v>2499117</v>
      </c>
      <c r="U12" s="49">
        <f t="shared" si="1"/>
        <v>3987883</v>
      </c>
      <c r="V12" s="51"/>
      <c r="W12" s="30"/>
      <c r="X12" s="28" t="s">
        <v>45</v>
      </c>
      <c r="Y12" s="45">
        <v>17</v>
      </c>
      <c r="Z12" s="46">
        <v>5.8000000000000003E-2</v>
      </c>
      <c r="AA12" s="46">
        <v>5.8999999999999997E-2</v>
      </c>
      <c r="AB12" s="32"/>
    </row>
    <row r="13" spans="1:29" s="2" customFormat="1" ht="23.25" customHeight="1" x14ac:dyDescent="0.15">
      <c r="A13" s="33"/>
      <c r="B13" s="34"/>
      <c r="C13" s="81">
        <f t="shared" si="4"/>
        <v>7</v>
      </c>
      <c r="D13" s="81" t="str">
        <f t="shared" si="0"/>
        <v xml:space="preserve">R </v>
      </c>
      <c r="E13" s="81">
        <f t="shared" si="2"/>
        <v>7</v>
      </c>
      <c r="F13" s="81">
        <f t="shared" si="5"/>
        <v>2025</v>
      </c>
      <c r="G13" s="88"/>
      <c r="H13" s="89"/>
      <c r="I13" s="36"/>
      <c r="J13" s="37"/>
      <c r="K13" s="37"/>
      <c r="L13" s="38"/>
      <c r="M13" s="18" t="str">
        <f t="shared" si="3"/>
        <v>7年目
R 7年</v>
      </c>
      <c r="N13" s="47">
        <f t="shared" si="6"/>
        <v>15</v>
      </c>
      <c r="O13" s="25">
        <f t="shared" si="7"/>
        <v>6.7000000000000004E-2</v>
      </c>
      <c r="P13" s="39">
        <v>12</v>
      </c>
      <c r="Q13" s="27" t="s">
        <v>23</v>
      </c>
      <c r="R13" s="55">
        <v>12</v>
      </c>
      <c r="S13" s="60">
        <f t="shared" si="8"/>
        <v>434629</v>
      </c>
      <c r="T13" s="57">
        <f>SUM($S$7:S13)</f>
        <v>2933746</v>
      </c>
      <c r="U13" s="49">
        <f t="shared" si="1"/>
        <v>3553254</v>
      </c>
      <c r="V13" s="51"/>
      <c r="W13" s="30"/>
      <c r="X13" s="28" t="s">
        <v>46</v>
      </c>
      <c r="Y13" s="45">
        <v>19</v>
      </c>
      <c r="Z13" s="46">
        <v>5.1999999999999998E-2</v>
      </c>
      <c r="AA13" s="46">
        <v>5.2999999999999999E-2</v>
      </c>
      <c r="AB13" s="32"/>
    </row>
    <row r="14" spans="1:29" s="2" customFormat="1" ht="23.25" customHeight="1" x14ac:dyDescent="0.15">
      <c r="A14" s="33"/>
      <c r="B14" s="34"/>
      <c r="C14" s="81">
        <f t="shared" si="4"/>
        <v>8</v>
      </c>
      <c r="D14" s="81" t="str">
        <f t="shared" si="0"/>
        <v xml:space="preserve">R </v>
      </c>
      <c r="E14" s="81">
        <f t="shared" si="2"/>
        <v>8</v>
      </c>
      <c r="F14" s="81">
        <f t="shared" si="5"/>
        <v>2026</v>
      </c>
      <c r="G14" s="88"/>
      <c r="H14" s="89"/>
      <c r="I14" s="36"/>
      <c r="J14" s="37"/>
      <c r="K14" s="37"/>
      <c r="L14" s="38"/>
      <c r="M14" s="18" t="str">
        <f t="shared" si="3"/>
        <v>8年目
R 8年</v>
      </c>
      <c r="N14" s="47">
        <f t="shared" si="6"/>
        <v>15</v>
      </c>
      <c r="O14" s="25">
        <f t="shared" si="7"/>
        <v>6.7000000000000004E-2</v>
      </c>
      <c r="P14" s="39">
        <v>12</v>
      </c>
      <c r="Q14" s="27" t="s">
        <v>38</v>
      </c>
      <c r="R14" s="55">
        <v>12</v>
      </c>
      <c r="S14" s="60">
        <f t="shared" si="8"/>
        <v>434629</v>
      </c>
      <c r="T14" s="57">
        <f>SUM($S$7:S14)</f>
        <v>3368375</v>
      </c>
      <c r="U14" s="49">
        <f t="shared" si="1"/>
        <v>3118625</v>
      </c>
      <c r="V14" s="51"/>
      <c r="W14" s="30"/>
      <c r="X14" s="28" t="s">
        <v>47</v>
      </c>
      <c r="Y14" s="45">
        <v>19</v>
      </c>
      <c r="Z14" s="46">
        <v>5.1999999999999998E-2</v>
      </c>
      <c r="AA14" s="46">
        <v>5.2999999999999999E-2</v>
      </c>
      <c r="AB14" s="32"/>
    </row>
    <row r="15" spans="1:29" s="2" customFormat="1" ht="23.25" customHeight="1" x14ac:dyDescent="0.15">
      <c r="A15" s="33"/>
      <c r="B15" s="34"/>
      <c r="C15" s="81">
        <f t="shared" si="4"/>
        <v>9</v>
      </c>
      <c r="D15" s="81" t="str">
        <f t="shared" si="0"/>
        <v xml:space="preserve">R </v>
      </c>
      <c r="E15" s="81">
        <f t="shared" si="2"/>
        <v>9</v>
      </c>
      <c r="F15" s="81">
        <f t="shared" si="5"/>
        <v>2027</v>
      </c>
      <c r="G15" s="88"/>
      <c r="H15" s="89"/>
      <c r="I15" s="36"/>
      <c r="J15" s="37"/>
      <c r="K15" s="37"/>
      <c r="L15" s="38"/>
      <c r="M15" s="18" t="str">
        <f t="shared" si="3"/>
        <v>9年目
R 9年</v>
      </c>
      <c r="N15" s="47">
        <f t="shared" si="6"/>
        <v>15</v>
      </c>
      <c r="O15" s="25">
        <f t="shared" si="7"/>
        <v>6.7000000000000004E-2</v>
      </c>
      <c r="P15" s="39">
        <v>12</v>
      </c>
      <c r="Q15" s="27" t="s">
        <v>38</v>
      </c>
      <c r="R15" s="55">
        <v>12</v>
      </c>
      <c r="S15" s="60">
        <f t="shared" si="8"/>
        <v>434629</v>
      </c>
      <c r="T15" s="57">
        <f>SUM($S$7:S15)</f>
        <v>3803004</v>
      </c>
      <c r="U15" s="49">
        <f t="shared" si="1"/>
        <v>2683996</v>
      </c>
      <c r="V15" s="51"/>
      <c r="W15" s="30"/>
      <c r="X15" s="28" t="s">
        <v>74</v>
      </c>
      <c r="Y15" s="45">
        <v>38</v>
      </c>
      <c r="Z15" s="46">
        <v>2.7E-2</v>
      </c>
      <c r="AA15" s="46">
        <v>2.7E-2</v>
      </c>
      <c r="AB15" s="32"/>
    </row>
    <row r="16" spans="1:29" s="2" customFormat="1" ht="23.25" customHeight="1" x14ac:dyDescent="0.15">
      <c r="A16" s="33"/>
      <c r="B16" s="34"/>
      <c r="C16" s="81">
        <f t="shared" si="4"/>
        <v>10</v>
      </c>
      <c r="D16" s="81" t="str">
        <f t="shared" si="0"/>
        <v xml:space="preserve">R </v>
      </c>
      <c r="E16" s="81">
        <f t="shared" si="2"/>
        <v>10</v>
      </c>
      <c r="F16" s="81">
        <f t="shared" si="5"/>
        <v>2028</v>
      </c>
      <c r="G16" s="88"/>
      <c r="H16" s="89"/>
      <c r="I16" s="36"/>
      <c r="J16" s="37"/>
      <c r="K16" s="37"/>
      <c r="L16" s="38"/>
      <c r="M16" s="18" t="str">
        <f t="shared" si="3"/>
        <v>10年目
R 10年</v>
      </c>
      <c r="N16" s="47">
        <f t="shared" si="6"/>
        <v>15</v>
      </c>
      <c r="O16" s="25">
        <f t="shared" si="7"/>
        <v>6.7000000000000004E-2</v>
      </c>
      <c r="P16" s="39">
        <v>12</v>
      </c>
      <c r="Q16" s="27" t="s">
        <v>38</v>
      </c>
      <c r="R16" s="55">
        <v>12</v>
      </c>
      <c r="S16" s="60">
        <f t="shared" si="8"/>
        <v>434629</v>
      </c>
      <c r="T16" s="57">
        <f>SUM($S$7:S16)</f>
        <v>4237633</v>
      </c>
      <c r="U16" s="49">
        <f t="shared" si="1"/>
        <v>2249367</v>
      </c>
      <c r="V16" s="51"/>
      <c r="W16" s="30"/>
      <c r="X16" s="28" t="s">
        <v>75</v>
      </c>
      <c r="Y16" s="45">
        <v>31</v>
      </c>
      <c r="Z16" s="46">
        <v>3.3000000000000002E-2</v>
      </c>
      <c r="AA16" s="46">
        <v>3.3000000000000002E-2</v>
      </c>
      <c r="AB16" s="32"/>
    </row>
    <row r="17" spans="1:28" s="2" customFormat="1" ht="23.25" customHeight="1" x14ac:dyDescent="0.15">
      <c r="A17" s="33"/>
      <c r="B17" s="34"/>
      <c r="C17" s="81">
        <f t="shared" si="4"/>
        <v>11</v>
      </c>
      <c r="D17" s="81" t="str">
        <f t="shared" si="0"/>
        <v xml:space="preserve">R </v>
      </c>
      <c r="E17" s="81">
        <f t="shared" si="2"/>
        <v>11</v>
      </c>
      <c r="F17" s="81">
        <f t="shared" si="5"/>
        <v>2029</v>
      </c>
      <c r="G17" s="88"/>
      <c r="H17" s="89"/>
      <c r="I17" s="36"/>
      <c r="J17" s="37"/>
      <c r="K17" s="37"/>
      <c r="L17" s="38"/>
      <c r="M17" s="18" t="str">
        <f t="shared" si="3"/>
        <v>11年目
R 11年</v>
      </c>
      <c r="N17" s="47">
        <f t="shared" si="6"/>
        <v>15</v>
      </c>
      <c r="O17" s="25">
        <f t="shared" si="7"/>
        <v>6.7000000000000004E-2</v>
      </c>
      <c r="P17" s="39">
        <v>12</v>
      </c>
      <c r="Q17" s="27" t="s">
        <v>38</v>
      </c>
      <c r="R17" s="55">
        <v>12</v>
      </c>
      <c r="S17" s="60">
        <f t="shared" si="8"/>
        <v>434629</v>
      </c>
      <c r="T17" s="57">
        <f>SUM($S$7:S17)</f>
        <v>4672262</v>
      </c>
      <c r="U17" s="49">
        <f t="shared" si="1"/>
        <v>1814738</v>
      </c>
      <c r="V17" s="51"/>
      <c r="W17" s="30"/>
      <c r="X17" s="28" t="s">
        <v>76</v>
      </c>
      <c r="Y17" s="45">
        <v>25</v>
      </c>
      <c r="Z17" s="46">
        <v>0.04</v>
      </c>
      <c r="AA17" s="46">
        <v>0.04</v>
      </c>
      <c r="AB17" s="32"/>
    </row>
    <row r="18" spans="1:28" s="2" customFormat="1" ht="23.25" customHeight="1" thickBot="1" x14ac:dyDescent="0.2">
      <c r="A18" s="33"/>
      <c r="B18" s="34"/>
      <c r="C18" s="81">
        <f t="shared" si="4"/>
        <v>12</v>
      </c>
      <c r="D18" s="81" t="str">
        <f t="shared" si="0"/>
        <v xml:space="preserve">R </v>
      </c>
      <c r="E18" s="81">
        <f t="shared" si="2"/>
        <v>12</v>
      </c>
      <c r="F18" s="81">
        <f t="shared" si="5"/>
        <v>2030</v>
      </c>
      <c r="G18" s="88"/>
      <c r="H18" s="89"/>
      <c r="I18" s="36"/>
      <c r="J18" s="37"/>
      <c r="K18" s="37"/>
      <c r="L18" s="38"/>
      <c r="M18" s="18" t="str">
        <f t="shared" si="3"/>
        <v>12年目
R 12年</v>
      </c>
      <c r="N18" s="47">
        <f t="shared" si="6"/>
        <v>15</v>
      </c>
      <c r="O18" s="25">
        <f t="shared" si="7"/>
        <v>6.7000000000000004E-2</v>
      </c>
      <c r="P18" s="39">
        <v>12</v>
      </c>
      <c r="Q18" s="27" t="s">
        <v>38</v>
      </c>
      <c r="R18" s="55">
        <v>12</v>
      </c>
      <c r="S18" s="64">
        <f t="shared" si="8"/>
        <v>434629</v>
      </c>
      <c r="T18" s="57">
        <f>SUM($S$7:S18)</f>
        <v>5106891</v>
      </c>
      <c r="U18" s="49">
        <f t="shared" si="1"/>
        <v>1380109</v>
      </c>
      <c r="V18" s="51"/>
      <c r="W18" s="30"/>
      <c r="X18" s="29" t="s">
        <v>77</v>
      </c>
      <c r="Y18" s="115">
        <v>24</v>
      </c>
      <c r="Z18" s="116">
        <v>4.2000000000000003E-2</v>
      </c>
      <c r="AA18" s="116">
        <v>4.2000000000000003E-2</v>
      </c>
      <c r="AB18" s="32"/>
    </row>
    <row r="19" spans="1:28" s="2" customFormat="1" ht="23.25" customHeight="1" thickBot="1" x14ac:dyDescent="0.2">
      <c r="A19" s="33"/>
      <c r="B19" s="34"/>
      <c r="C19" s="81">
        <f t="shared" si="4"/>
        <v>13</v>
      </c>
      <c r="D19" s="81" t="str">
        <f t="shared" si="0"/>
        <v xml:space="preserve">R </v>
      </c>
      <c r="E19" s="81">
        <f t="shared" si="2"/>
        <v>13</v>
      </c>
      <c r="F19" s="81">
        <f t="shared" si="5"/>
        <v>2031</v>
      </c>
      <c r="G19" s="88"/>
      <c r="H19" s="89"/>
      <c r="I19" s="36"/>
      <c r="J19" s="37"/>
      <c r="K19" s="37"/>
      <c r="L19" s="38"/>
      <c r="M19" s="18" t="str">
        <f t="shared" si="3"/>
        <v>13年目
R 13年</v>
      </c>
      <c r="N19" s="47">
        <f t="shared" si="6"/>
        <v>15</v>
      </c>
      <c r="O19" s="25">
        <f t="shared" si="7"/>
        <v>6.7000000000000004E-2</v>
      </c>
      <c r="P19" s="39">
        <v>12</v>
      </c>
      <c r="Q19" s="27" t="s">
        <v>38</v>
      </c>
      <c r="R19" s="55">
        <v>12</v>
      </c>
      <c r="S19" s="60">
        <f t="shared" si="8"/>
        <v>434629</v>
      </c>
      <c r="T19" s="57">
        <f>SUM($S$7:S19)</f>
        <v>5541520</v>
      </c>
      <c r="U19" s="49">
        <f t="shared" si="1"/>
        <v>945480</v>
      </c>
      <c r="V19" s="51"/>
      <c r="W19" s="30"/>
      <c r="X19" s="122" t="s">
        <v>105</v>
      </c>
      <c r="Y19" s="125">
        <v>15</v>
      </c>
      <c r="Z19" s="124">
        <v>6.6000000000000003E-2</v>
      </c>
      <c r="AA19" s="126">
        <v>6.7000000000000004E-2</v>
      </c>
    </row>
    <row r="20" spans="1:28" s="2" customFormat="1" ht="23.25" customHeight="1" x14ac:dyDescent="0.15">
      <c r="A20" s="33"/>
      <c r="B20" s="34"/>
      <c r="C20" s="81">
        <f t="shared" si="4"/>
        <v>14</v>
      </c>
      <c r="D20" s="81" t="str">
        <f t="shared" si="0"/>
        <v xml:space="preserve">R </v>
      </c>
      <c r="E20" s="81">
        <f t="shared" si="2"/>
        <v>14</v>
      </c>
      <c r="F20" s="81">
        <f t="shared" si="5"/>
        <v>2032</v>
      </c>
      <c r="G20" s="88"/>
      <c r="H20" s="89"/>
      <c r="I20" s="36"/>
      <c r="J20" s="37"/>
      <c r="K20" s="37"/>
      <c r="L20" s="38"/>
      <c r="M20" s="18" t="str">
        <f t="shared" si="3"/>
        <v>14年目
R 14年</v>
      </c>
      <c r="N20" s="47">
        <f t="shared" si="6"/>
        <v>15</v>
      </c>
      <c r="O20" s="25">
        <f t="shared" si="7"/>
        <v>6.7000000000000004E-2</v>
      </c>
      <c r="P20" s="39">
        <v>12</v>
      </c>
      <c r="Q20" s="27" t="s">
        <v>38</v>
      </c>
      <c r="R20" s="55">
        <v>12</v>
      </c>
      <c r="S20" s="60">
        <f t="shared" si="8"/>
        <v>434629</v>
      </c>
      <c r="T20" s="57">
        <f>SUM($S$7:S20)</f>
        <v>5976149</v>
      </c>
      <c r="U20" s="49">
        <f t="shared" si="1"/>
        <v>510851</v>
      </c>
      <c r="V20" s="51"/>
      <c r="X20" s="31"/>
      <c r="Y20" s="30"/>
    </row>
    <row r="21" spans="1:28" s="2" customFormat="1" ht="23.25" customHeight="1" x14ac:dyDescent="0.15">
      <c r="A21" s="33"/>
      <c r="B21" s="34"/>
      <c r="C21" s="81">
        <f t="shared" si="4"/>
        <v>15</v>
      </c>
      <c r="D21" s="81" t="str">
        <f t="shared" si="0"/>
        <v xml:space="preserve">R </v>
      </c>
      <c r="E21" s="81">
        <f t="shared" si="2"/>
        <v>15</v>
      </c>
      <c r="F21" s="81">
        <f t="shared" si="5"/>
        <v>2033</v>
      </c>
      <c r="G21" s="88"/>
      <c r="H21" s="89"/>
      <c r="I21" s="36"/>
      <c r="J21" s="37"/>
      <c r="K21" s="37"/>
      <c r="L21" s="38"/>
      <c r="M21" s="18" t="str">
        <f t="shared" si="3"/>
        <v>15年目
R 15年</v>
      </c>
      <c r="N21" s="47">
        <f t="shared" si="6"/>
        <v>15</v>
      </c>
      <c r="O21" s="25">
        <f t="shared" si="7"/>
        <v>6.7000000000000004E-2</v>
      </c>
      <c r="P21" s="39">
        <v>12</v>
      </c>
      <c r="Q21" s="27" t="s">
        <v>38</v>
      </c>
      <c r="R21" s="55">
        <v>12</v>
      </c>
      <c r="S21" s="60">
        <f t="shared" si="8"/>
        <v>434629</v>
      </c>
      <c r="T21" s="57">
        <f>SUM($S$7:S21)</f>
        <v>6410778</v>
      </c>
      <c r="U21" s="49">
        <f t="shared" si="1"/>
        <v>76222</v>
      </c>
      <c r="V21" s="51"/>
      <c r="X21" s="6"/>
    </row>
    <row r="22" spans="1:28" s="2" customFormat="1" ht="23.25" customHeight="1" x14ac:dyDescent="0.15">
      <c r="A22" s="33"/>
      <c r="B22" s="34"/>
      <c r="C22" s="81">
        <f t="shared" si="4"/>
        <v>16</v>
      </c>
      <c r="D22" s="81" t="str">
        <f t="shared" si="0"/>
        <v xml:space="preserve">R </v>
      </c>
      <c r="E22" s="81">
        <f t="shared" si="2"/>
        <v>16</v>
      </c>
      <c r="F22" s="81">
        <f t="shared" si="5"/>
        <v>2034</v>
      </c>
      <c r="G22" s="88"/>
      <c r="H22" s="89"/>
      <c r="I22" s="36"/>
      <c r="J22" s="37"/>
      <c r="K22" s="37"/>
      <c r="L22" s="38"/>
      <c r="M22" s="18" t="str">
        <f t="shared" si="3"/>
        <v>16年目
R 16年</v>
      </c>
      <c r="N22" s="47">
        <f t="shared" si="6"/>
        <v>15</v>
      </c>
      <c r="O22" s="25">
        <f t="shared" si="7"/>
        <v>6.7000000000000004E-2</v>
      </c>
      <c r="P22" s="39">
        <v>12</v>
      </c>
      <c r="Q22" s="27" t="s">
        <v>38</v>
      </c>
      <c r="R22" s="55">
        <v>12</v>
      </c>
      <c r="S22" s="60">
        <f t="shared" si="8"/>
        <v>76221</v>
      </c>
      <c r="T22" s="57">
        <f>SUM($S$7:S22)</f>
        <v>6486999</v>
      </c>
      <c r="U22" s="49">
        <f t="shared" si="1"/>
        <v>1</v>
      </c>
      <c r="V22" s="51"/>
      <c r="X22" s="6"/>
    </row>
    <row r="23" spans="1:28" s="2" customFormat="1" ht="23.25" customHeight="1" x14ac:dyDescent="0.15">
      <c r="A23" s="33"/>
      <c r="B23" s="34"/>
      <c r="C23" s="81">
        <f t="shared" si="4"/>
        <v>17</v>
      </c>
      <c r="D23" s="81" t="str">
        <f t="shared" si="0"/>
        <v xml:space="preserve">R </v>
      </c>
      <c r="E23" s="81">
        <f t="shared" si="2"/>
        <v>17</v>
      </c>
      <c r="F23" s="81">
        <f t="shared" si="5"/>
        <v>2035</v>
      </c>
      <c r="G23" s="88"/>
      <c r="H23" s="89"/>
      <c r="I23" s="36"/>
      <c r="J23" s="37"/>
      <c r="K23" s="37"/>
      <c r="L23" s="38"/>
      <c r="M23" s="18" t="str">
        <f t="shared" si="3"/>
        <v>17年目
R 17年</v>
      </c>
      <c r="N23" s="47">
        <f t="shared" si="6"/>
        <v>15</v>
      </c>
      <c r="O23" s="25">
        <f t="shared" si="7"/>
        <v>6.7000000000000004E-2</v>
      </c>
      <c r="P23" s="39">
        <v>12</v>
      </c>
      <c r="Q23" s="27" t="s">
        <v>38</v>
      </c>
      <c r="R23" s="55">
        <v>12</v>
      </c>
      <c r="S23" s="60">
        <f t="shared" si="8"/>
        <v>0</v>
      </c>
      <c r="T23" s="57">
        <f>SUM($S$7:S23)</f>
        <v>6486999</v>
      </c>
      <c r="U23" s="49">
        <f t="shared" si="1"/>
        <v>1</v>
      </c>
      <c r="V23" s="51"/>
      <c r="X23" s="6"/>
    </row>
    <row r="24" spans="1:28" s="2" customFormat="1" ht="23.25" customHeight="1" x14ac:dyDescent="0.15">
      <c r="A24" s="33"/>
      <c r="B24" s="34"/>
      <c r="C24" s="81">
        <f t="shared" si="4"/>
        <v>18</v>
      </c>
      <c r="D24" s="81" t="str">
        <f t="shared" si="0"/>
        <v xml:space="preserve">R </v>
      </c>
      <c r="E24" s="81">
        <f t="shared" si="2"/>
        <v>18</v>
      </c>
      <c r="F24" s="81">
        <f t="shared" si="5"/>
        <v>2036</v>
      </c>
      <c r="G24" s="88"/>
      <c r="H24" s="89"/>
      <c r="I24" s="36"/>
      <c r="J24" s="37"/>
      <c r="K24" s="37"/>
      <c r="L24" s="38"/>
      <c r="M24" s="18" t="str">
        <f t="shared" si="3"/>
        <v>18年目
R 18年</v>
      </c>
      <c r="N24" s="47">
        <f t="shared" si="6"/>
        <v>15</v>
      </c>
      <c r="O24" s="25">
        <f t="shared" si="7"/>
        <v>6.7000000000000004E-2</v>
      </c>
      <c r="P24" s="39">
        <v>12</v>
      </c>
      <c r="Q24" s="27" t="s">
        <v>38</v>
      </c>
      <c r="R24" s="55">
        <v>12</v>
      </c>
      <c r="S24" s="60">
        <f t="shared" si="8"/>
        <v>0</v>
      </c>
      <c r="T24" s="57">
        <f>SUM($S$7:S24)</f>
        <v>6486999</v>
      </c>
      <c r="U24" s="49">
        <f t="shared" si="1"/>
        <v>1</v>
      </c>
      <c r="V24" s="51"/>
      <c r="X24" s="6"/>
    </row>
    <row r="25" spans="1:28" s="2" customFormat="1" ht="23.25" customHeight="1" x14ac:dyDescent="0.15">
      <c r="A25" s="33"/>
      <c r="B25" s="34"/>
      <c r="C25" s="81">
        <f t="shared" si="4"/>
        <v>19</v>
      </c>
      <c r="D25" s="81" t="str">
        <f t="shared" si="0"/>
        <v xml:space="preserve">R </v>
      </c>
      <c r="E25" s="81">
        <f t="shared" si="2"/>
        <v>19</v>
      </c>
      <c r="F25" s="81">
        <f t="shared" si="5"/>
        <v>2037</v>
      </c>
      <c r="G25" s="88"/>
      <c r="H25" s="89"/>
      <c r="I25" s="36"/>
      <c r="J25" s="37"/>
      <c r="K25" s="37"/>
      <c r="L25" s="38"/>
      <c r="M25" s="18" t="str">
        <f t="shared" si="3"/>
        <v>19年目
R 19年</v>
      </c>
      <c r="N25" s="47">
        <f t="shared" si="6"/>
        <v>15</v>
      </c>
      <c r="O25" s="25">
        <f t="shared" si="7"/>
        <v>6.7000000000000004E-2</v>
      </c>
      <c r="P25" s="39">
        <v>12</v>
      </c>
      <c r="Q25" s="27" t="s">
        <v>38</v>
      </c>
      <c r="R25" s="55">
        <v>12</v>
      </c>
      <c r="S25" s="60">
        <f t="shared" si="8"/>
        <v>0</v>
      </c>
      <c r="T25" s="57">
        <f>SUM($S$7:S25)</f>
        <v>6486999</v>
      </c>
      <c r="U25" s="49">
        <f t="shared" si="1"/>
        <v>1</v>
      </c>
      <c r="V25" s="51"/>
      <c r="X25" s="6"/>
    </row>
    <row r="26" spans="1:28" s="2" customFormat="1" ht="23.25" customHeight="1" x14ac:dyDescent="0.15">
      <c r="A26" s="33"/>
      <c r="B26" s="34"/>
      <c r="C26" s="81">
        <f t="shared" si="4"/>
        <v>20</v>
      </c>
      <c r="D26" s="81" t="str">
        <f t="shared" si="0"/>
        <v xml:space="preserve">R </v>
      </c>
      <c r="E26" s="81">
        <f t="shared" si="2"/>
        <v>20</v>
      </c>
      <c r="F26" s="81">
        <f t="shared" si="5"/>
        <v>2038</v>
      </c>
      <c r="G26" s="88"/>
      <c r="H26" s="89"/>
      <c r="I26" s="36"/>
      <c r="J26" s="37"/>
      <c r="K26" s="37"/>
      <c r="L26" s="38"/>
      <c r="M26" s="18" t="str">
        <f t="shared" si="3"/>
        <v>20年目
R 20年</v>
      </c>
      <c r="N26" s="47">
        <f t="shared" si="6"/>
        <v>15</v>
      </c>
      <c r="O26" s="25">
        <f t="shared" si="7"/>
        <v>6.7000000000000004E-2</v>
      </c>
      <c r="P26" s="39">
        <v>12</v>
      </c>
      <c r="Q26" s="27" t="s">
        <v>38</v>
      </c>
      <c r="R26" s="55">
        <v>12</v>
      </c>
      <c r="S26" s="60">
        <f t="shared" si="8"/>
        <v>0</v>
      </c>
      <c r="T26" s="57">
        <f>SUM($S$7:S26)</f>
        <v>6486999</v>
      </c>
      <c r="U26" s="49">
        <f>$J$7-T26</f>
        <v>1</v>
      </c>
      <c r="V26" s="51"/>
      <c r="X26" s="6"/>
    </row>
    <row r="27" spans="1:28" s="2" customFormat="1" ht="23.25" customHeight="1" x14ac:dyDescent="0.15">
      <c r="A27" s="33"/>
      <c r="B27" s="34"/>
      <c r="C27" s="81">
        <f t="shared" si="4"/>
        <v>21</v>
      </c>
      <c r="D27" s="81" t="str">
        <f t="shared" si="0"/>
        <v xml:space="preserve">R </v>
      </c>
      <c r="E27" s="81">
        <f t="shared" si="2"/>
        <v>21</v>
      </c>
      <c r="F27" s="81">
        <f t="shared" si="5"/>
        <v>2039</v>
      </c>
      <c r="G27" s="88"/>
      <c r="H27" s="89"/>
      <c r="I27" s="36"/>
      <c r="J27" s="37"/>
      <c r="K27" s="37"/>
      <c r="L27" s="38"/>
      <c r="M27" s="18" t="str">
        <f t="shared" si="3"/>
        <v>21年目
R 21年</v>
      </c>
      <c r="N27" s="47">
        <f t="shared" si="6"/>
        <v>15</v>
      </c>
      <c r="O27" s="25">
        <f t="shared" si="7"/>
        <v>6.7000000000000004E-2</v>
      </c>
      <c r="P27" s="39">
        <v>12</v>
      </c>
      <c r="Q27" s="27" t="s">
        <v>38</v>
      </c>
      <c r="R27" s="55">
        <v>12</v>
      </c>
      <c r="S27" s="60">
        <f t="shared" si="8"/>
        <v>0</v>
      </c>
      <c r="T27" s="57">
        <f>SUM($S$7:S27)</f>
        <v>6486999</v>
      </c>
      <c r="U27" s="49">
        <f>$J$7-T27</f>
        <v>1</v>
      </c>
      <c r="V27" s="51"/>
      <c r="X27" s="6"/>
    </row>
    <row r="28" spans="1:28" s="2" customFormat="1" ht="23.25" customHeight="1" x14ac:dyDescent="0.15">
      <c r="A28" s="33"/>
      <c r="B28" s="34"/>
      <c r="C28" s="81">
        <f t="shared" si="4"/>
        <v>22</v>
      </c>
      <c r="D28" s="81" t="str">
        <f t="shared" si="0"/>
        <v xml:space="preserve">R </v>
      </c>
      <c r="E28" s="81">
        <f t="shared" si="2"/>
        <v>22</v>
      </c>
      <c r="F28" s="81">
        <f t="shared" si="5"/>
        <v>2040</v>
      </c>
      <c r="G28" s="88"/>
      <c r="H28" s="89"/>
      <c r="I28" s="36"/>
      <c r="J28" s="37"/>
      <c r="K28" s="37"/>
      <c r="L28" s="38"/>
      <c r="M28" s="18" t="str">
        <f t="shared" si="3"/>
        <v>22年目
R 22年</v>
      </c>
      <c r="N28" s="47">
        <f t="shared" si="6"/>
        <v>15</v>
      </c>
      <c r="O28" s="25">
        <f t="shared" si="7"/>
        <v>6.7000000000000004E-2</v>
      </c>
      <c r="P28" s="39">
        <v>12</v>
      </c>
      <c r="Q28" s="27" t="s">
        <v>38</v>
      </c>
      <c r="R28" s="55">
        <v>12</v>
      </c>
      <c r="S28" s="60">
        <f t="shared" si="8"/>
        <v>0</v>
      </c>
      <c r="T28" s="57">
        <f>SUM($S$7:S28)</f>
        <v>6486999</v>
      </c>
      <c r="U28" s="49">
        <f>$J$7-T28</f>
        <v>1</v>
      </c>
      <c r="V28" s="51"/>
      <c r="X28" s="6"/>
    </row>
    <row r="29" spans="1:28" s="2" customFormat="1" ht="23.25" customHeight="1" thickBot="1" x14ac:dyDescent="0.2">
      <c r="A29" s="33"/>
      <c r="B29" s="34"/>
      <c r="C29" s="81">
        <f t="shared" si="4"/>
        <v>23</v>
      </c>
      <c r="D29" s="81" t="str">
        <f t="shared" si="0"/>
        <v xml:space="preserve">R </v>
      </c>
      <c r="E29" s="81">
        <f t="shared" si="2"/>
        <v>23</v>
      </c>
      <c r="F29" s="81">
        <f t="shared" si="5"/>
        <v>2041</v>
      </c>
      <c r="G29" s="88"/>
      <c r="H29" s="89"/>
      <c r="I29" s="36"/>
      <c r="J29" s="37"/>
      <c r="K29" s="37"/>
      <c r="L29" s="38"/>
      <c r="M29" s="18" t="str">
        <f t="shared" si="3"/>
        <v>23年目
R 23年</v>
      </c>
      <c r="N29" s="47">
        <f t="shared" si="6"/>
        <v>15</v>
      </c>
      <c r="O29" s="25">
        <f t="shared" si="7"/>
        <v>6.7000000000000004E-2</v>
      </c>
      <c r="P29" s="39">
        <v>12</v>
      </c>
      <c r="Q29" s="27" t="s">
        <v>38</v>
      </c>
      <c r="R29" s="55">
        <v>12</v>
      </c>
      <c r="S29" s="61">
        <f t="shared" si="8"/>
        <v>0</v>
      </c>
      <c r="T29" s="57">
        <f>SUM($S$7:S29)</f>
        <v>6486999</v>
      </c>
      <c r="U29" s="49">
        <f>$J$7-T29</f>
        <v>1</v>
      </c>
      <c r="V29" s="52"/>
      <c r="X29" s="6"/>
    </row>
    <row r="30" spans="1:28" s="2" customFormat="1" ht="13.5" customHeight="1" x14ac:dyDescent="0.15">
      <c r="C30" s="72"/>
      <c r="D30" s="72"/>
      <c r="E30" s="72"/>
      <c r="F30" s="72"/>
      <c r="L30" s="3"/>
      <c r="O30" s="3"/>
      <c r="P30" s="4"/>
      <c r="R30" s="5"/>
      <c r="X30" s="6"/>
    </row>
    <row r="31" spans="1:28" ht="13.5" customHeight="1" x14ac:dyDescent="0.15">
      <c r="X31" s="6"/>
      <c r="Y31" s="2"/>
      <c r="Z31" s="2"/>
      <c r="AA31" s="2"/>
    </row>
    <row r="32" spans="1:28"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sheetData>
  <sheetProtection sheet="1" selectLockedCells="1"/>
  <mergeCells count="4">
    <mergeCell ref="A2:V2"/>
    <mergeCell ref="P5:R5"/>
    <mergeCell ref="G5:I5"/>
    <mergeCell ref="A1:V1"/>
  </mergeCells>
  <phoneticPr fontId="2"/>
  <dataValidations count="4">
    <dataValidation type="whole" operator="greaterThanOrEqual" allowBlank="1" showErrorMessage="1" sqref="J7 H7">
      <formula1>0</formula1>
    </dataValidation>
    <dataValidation type="whole" allowBlank="1" showErrorMessage="1" sqref="I7">
      <formula1>1</formula1>
      <formula2>12</formula2>
    </dataValidation>
    <dataValidation type="list" allowBlank="1" showInputMessage="1" showErrorMessage="1" sqref="G7">
      <formula1>$AC$7:$AC$9</formula1>
    </dataValidation>
    <dataValidation type="list" allowBlank="1" sqref="A7">
      <formula1>$X$7:$X$19</formula1>
    </dataValidation>
  </dataValidations>
  <pageMargins left="0.39370078740157483" right="0.19685039370078741" top="0.39370078740157483" bottom="0.39370078740157483" header="0.19685039370078741" footer="0.19685039370078741"/>
  <pageSetup paperSize="9" scale="88" orientation="landscape" cellComments="asDisplayed" r:id="rId1"/>
  <headerFooter alignWithMargins="0">
    <oddFooter>&amp;L◆このシートでは、1円未満の端数を切り上げて計算しています。</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10"/>
  <sheetViews>
    <sheetView tabSelected="1" zoomScale="75" zoomScaleNormal="75" workbookViewId="0">
      <selection activeCell="I7" sqref="I7"/>
    </sheetView>
  </sheetViews>
  <sheetFormatPr defaultColWidth="9" defaultRowHeight="13.5" x14ac:dyDescent="0.15"/>
  <cols>
    <col min="1" max="1" width="15" style="40" customWidth="1"/>
    <col min="2" max="2" width="5" style="40" customWidth="1"/>
    <col min="3" max="4" width="5" style="77" hidden="1" customWidth="1"/>
    <col min="5" max="5" width="8" style="77" hidden="1" customWidth="1"/>
    <col min="6" max="7" width="5.5" style="40" customWidth="1"/>
    <col min="8" max="8" width="4.25" style="40" customWidth="1"/>
    <col min="9" max="10" width="14.375" style="40" customWidth="1"/>
    <col min="11" max="11" width="4.625" style="41" customWidth="1"/>
    <col min="12" max="12" width="6.625" style="40" customWidth="1"/>
    <col min="13" max="13" width="5.25" style="40" bestFit="1" customWidth="1"/>
    <col min="14" max="14" width="6.625" style="41" customWidth="1"/>
    <col min="15" max="15" width="3.125" style="42" customWidth="1"/>
    <col min="16" max="16" width="1.75" style="40" customWidth="1"/>
    <col min="17" max="17" width="3.125" style="43" customWidth="1"/>
    <col min="18" max="18" width="12.5" style="40" customWidth="1"/>
    <col min="19" max="24" width="12.5" style="77" hidden="1" customWidth="1"/>
    <col min="25" max="27" width="14.375" style="40" customWidth="1"/>
    <col min="28" max="28" width="6.625" style="40" customWidth="1"/>
    <col min="29" max="29" width="12.625" style="40" customWidth="1"/>
    <col min="30" max="30" width="18.75" style="44" customWidth="1"/>
    <col min="31" max="36" width="12.625" style="40" customWidth="1"/>
    <col min="37" max="16384" width="9" style="40"/>
  </cols>
  <sheetData>
    <row r="1" spans="1:38" x14ac:dyDescent="0.15">
      <c r="A1" s="133" t="s">
        <v>110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row>
    <row r="2" spans="1:38" customFormat="1" ht="27" customHeight="1" x14ac:dyDescent="0.3">
      <c r="A2" s="128" t="s">
        <v>66</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D2" s="1"/>
    </row>
    <row r="3" spans="1:38" s="2" customFormat="1" ht="20.100000000000001" customHeight="1" thickBot="1" x14ac:dyDescent="0.2">
      <c r="A3" s="2" t="s">
        <v>111</v>
      </c>
      <c r="C3" s="72" t="s">
        <v>78</v>
      </c>
      <c r="D3" s="82" t="s">
        <v>78</v>
      </c>
      <c r="E3" s="82" t="s">
        <v>78</v>
      </c>
      <c r="K3" s="3"/>
      <c r="N3" s="3"/>
      <c r="O3" s="4"/>
      <c r="Q3" s="5"/>
      <c r="S3" s="72"/>
      <c r="T3" s="72"/>
      <c r="U3" s="72"/>
      <c r="V3" s="72"/>
      <c r="W3" s="72"/>
      <c r="X3" s="72"/>
      <c r="Z3" s="4"/>
      <c r="AA3" s="4" t="s">
        <v>1</v>
      </c>
      <c r="AD3" s="6"/>
    </row>
    <row r="4" spans="1:38" s="2" customFormat="1" ht="14.25" x14ac:dyDescent="0.15">
      <c r="A4" s="7"/>
      <c r="B4" s="8"/>
      <c r="C4" s="78"/>
      <c r="D4" s="83"/>
      <c r="E4" s="83"/>
      <c r="F4" s="8"/>
      <c r="G4" s="12"/>
      <c r="H4" s="9"/>
      <c r="I4" s="7" t="s">
        <v>2</v>
      </c>
      <c r="J4" s="7" t="s">
        <v>3</v>
      </c>
      <c r="K4" s="10"/>
      <c r="L4" s="7"/>
      <c r="M4" s="7"/>
      <c r="N4" s="7" t="s">
        <v>4</v>
      </c>
      <c r="O4" s="11" t="s">
        <v>5</v>
      </c>
      <c r="P4" s="12"/>
      <c r="Q4" s="54"/>
      <c r="R4" s="58" t="s">
        <v>6</v>
      </c>
      <c r="S4" s="73"/>
      <c r="T4" s="73"/>
      <c r="U4" s="73"/>
      <c r="V4" s="73"/>
      <c r="W4" s="73"/>
      <c r="X4" s="73"/>
      <c r="Y4" s="9"/>
      <c r="Z4" s="7" t="s">
        <v>7</v>
      </c>
      <c r="AA4" s="7"/>
      <c r="AD4" s="6"/>
    </row>
    <row r="5" spans="1:38" s="16" customFormat="1" ht="45.75" customHeight="1" x14ac:dyDescent="0.15">
      <c r="A5" s="99" t="s">
        <v>9</v>
      </c>
      <c r="B5" s="100" t="s">
        <v>10</v>
      </c>
      <c r="C5" s="101" t="s">
        <v>80</v>
      </c>
      <c r="D5" s="101" t="s">
        <v>79</v>
      </c>
      <c r="E5" s="101" t="s">
        <v>82</v>
      </c>
      <c r="F5" s="136" t="s">
        <v>84</v>
      </c>
      <c r="G5" s="137"/>
      <c r="H5" s="139"/>
      <c r="I5" s="99" t="s">
        <v>12</v>
      </c>
      <c r="J5" s="99" t="s">
        <v>13</v>
      </c>
      <c r="K5" s="98" t="s">
        <v>14</v>
      </c>
      <c r="L5" s="99" t="s">
        <v>8</v>
      </c>
      <c r="M5" s="98" t="s">
        <v>15</v>
      </c>
      <c r="N5" s="99" t="s">
        <v>16</v>
      </c>
      <c r="O5" s="134" t="s">
        <v>17</v>
      </c>
      <c r="P5" s="135"/>
      <c r="Q5" s="135"/>
      <c r="R5" s="102" t="s">
        <v>18</v>
      </c>
      <c r="S5" s="107" t="s">
        <v>53</v>
      </c>
      <c r="T5" s="107" t="s">
        <v>54</v>
      </c>
      <c r="U5" s="107" t="s">
        <v>55</v>
      </c>
      <c r="V5" s="107" t="s">
        <v>81</v>
      </c>
      <c r="W5" s="107" t="s">
        <v>56</v>
      </c>
      <c r="X5" s="107" t="s">
        <v>57</v>
      </c>
      <c r="Y5" s="103" t="s">
        <v>19</v>
      </c>
      <c r="Z5" s="99" t="s">
        <v>20</v>
      </c>
      <c r="AA5" s="98" t="str">
        <f>"償却可能限度額"&amp;
IF(I7=J7,"（㋑－１）","（㋑×９５％）")</f>
        <v>償却可能限度額（㋑－１）</v>
      </c>
      <c r="AD5" s="111" t="s">
        <v>9</v>
      </c>
      <c r="AE5" s="105" t="s">
        <v>25</v>
      </c>
      <c r="AF5" s="105" t="s">
        <v>70</v>
      </c>
      <c r="AG5" s="105" t="s">
        <v>114</v>
      </c>
      <c r="AH5" s="105" t="s">
        <v>52</v>
      </c>
      <c r="AI5" s="105" t="s">
        <v>70</v>
      </c>
      <c r="AJ5" s="105" t="s">
        <v>114</v>
      </c>
      <c r="AL5" s="105" t="s">
        <v>104</v>
      </c>
    </row>
    <row r="6" spans="1:38" s="16" customFormat="1" ht="14.25" x14ac:dyDescent="0.15">
      <c r="A6" s="13"/>
      <c r="B6" s="14"/>
      <c r="C6" s="79"/>
      <c r="D6" s="79"/>
      <c r="E6" s="79"/>
      <c r="F6" s="86" t="s">
        <v>79</v>
      </c>
      <c r="G6" s="87" t="s">
        <v>21</v>
      </c>
      <c r="H6" s="71" t="s">
        <v>22</v>
      </c>
      <c r="I6" s="13"/>
      <c r="J6" s="13"/>
      <c r="K6" s="15"/>
      <c r="L6" s="13"/>
      <c r="M6" s="15"/>
      <c r="N6" s="13"/>
      <c r="O6" s="69"/>
      <c r="P6" s="70"/>
      <c r="Q6" s="70"/>
      <c r="R6" s="59"/>
      <c r="S6" s="74"/>
      <c r="T6" s="74"/>
      <c r="U6" s="74"/>
      <c r="V6" s="74"/>
      <c r="W6" s="74"/>
      <c r="X6" s="74"/>
      <c r="Y6" s="56"/>
      <c r="Z6" s="13"/>
      <c r="AA6" s="15"/>
      <c r="AD6" s="112"/>
      <c r="AE6" s="13"/>
      <c r="AF6" s="13"/>
      <c r="AG6" s="13"/>
      <c r="AH6" s="13"/>
      <c r="AI6" s="13"/>
      <c r="AJ6" s="13"/>
      <c r="AL6" s="99"/>
    </row>
    <row r="7" spans="1:38" s="2" customFormat="1" ht="23.25" customHeight="1" x14ac:dyDescent="0.15">
      <c r="A7" s="68" t="s">
        <v>63</v>
      </c>
      <c r="B7" s="48">
        <v>1</v>
      </c>
      <c r="C7" s="80">
        <v>1</v>
      </c>
      <c r="D7" s="80" t="str">
        <f t="shared" ref="D7:D29" si="0">IF(V7&gt;2018,"R ",IF(V7&gt;1988,"H ",IF(V7&lt;1989,"S ")))</f>
        <v xml:space="preserve">R </v>
      </c>
      <c r="E7" s="80">
        <f>IF(V7&gt;2018,V7-2018,IF(V7&gt;1988,V7-1988,IF(V7&lt;1989,V7-1925)))</f>
        <v>1</v>
      </c>
      <c r="F7" s="121" t="s">
        <v>112</v>
      </c>
      <c r="G7" s="108">
        <v>1</v>
      </c>
      <c r="H7" s="66">
        <v>4</v>
      </c>
      <c r="I7" s="67">
        <v>2222557</v>
      </c>
      <c r="J7" s="53">
        <f>-INT(-I7*IF(OR(V7&gt;=2008,AND(V7&gt;=2007,H7&gt;=4)),1,0.9))</f>
        <v>2222557</v>
      </c>
      <c r="K7" s="24" t="str">
        <f>IF(OR(V7&gt;=2008,AND(V7&gt;=2007,H7&gt;=4)),"定額","旧定額")</f>
        <v>定額</v>
      </c>
      <c r="L7" s="18" t="str">
        <f t="shared" ref="L7:L29" si="1">C7&amp;"年目"&amp;CHAR(10)&amp;D7&amp;E7&amp;"年"</f>
        <v>1年目
R 1年</v>
      </c>
      <c r="M7" s="47">
        <f t="shared" ref="M7:M29" si="2">IF(ISNA(VLOOKUP($A$7,$AD$7:$AJ$27,2,0)),"",VLOOKUP($A$7,$AD$7:$AJ$27,IF(V7&lt;2009,2,5),0))</f>
        <v>14</v>
      </c>
      <c r="N7" s="25">
        <f t="shared" ref="N7:N29" si="3">IF(ISNA(VLOOKUP($A$7,$AD$7:$AJ$27,3,0)),"",VLOOKUP($A$7,$AD$7:$AJ$27,IF(V7&lt;2009,IF($K$7="旧定額",3,4),IF($K$7="旧定額",6,7)),0))</f>
        <v>7.1999999999999995E-2</v>
      </c>
      <c r="O7" s="39">
        <f>IF(H7="",12,12-H7+1)</f>
        <v>9</v>
      </c>
      <c r="P7" s="27" t="s">
        <v>39</v>
      </c>
      <c r="Q7" s="55">
        <v>12</v>
      </c>
      <c r="R7" s="60">
        <f>-INT(-J7*N7*(O7/12))</f>
        <v>120019</v>
      </c>
      <c r="S7" s="75">
        <f>-INT(-$J$7*N7*(O7/12))</f>
        <v>120019</v>
      </c>
      <c r="T7" s="75">
        <f>S7</f>
        <v>120019</v>
      </c>
      <c r="U7" s="75">
        <f t="shared" ref="U7:U29" si="4">$AA$7-T7</f>
        <v>2102537</v>
      </c>
      <c r="V7" s="75">
        <f>G7+IF(F7="S",1925,IF(F7="H",1988,IF(F7="R",2018)))</f>
        <v>2019</v>
      </c>
      <c r="W7" s="75">
        <v>0</v>
      </c>
      <c r="X7" s="75">
        <f>($I$7+INT(-$I$7*0.95))-SUM($W$7:W7)</f>
        <v>111127</v>
      </c>
      <c r="Y7" s="57">
        <f>R7</f>
        <v>120019</v>
      </c>
      <c r="Z7" s="49">
        <f t="shared" ref="Z7:Z29" si="5">$I$7-Y7</f>
        <v>2102538</v>
      </c>
      <c r="AA7" s="50">
        <f>IF(I7=J7,-INT(-I7+1),-INT(-I7*0.95))</f>
        <v>2222556</v>
      </c>
      <c r="AB7" s="30"/>
      <c r="AC7" s="30"/>
      <c r="AD7" s="49" t="s">
        <v>63</v>
      </c>
      <c r="AE7" s="45">
        <v>15</v>
      </c>
      <c r="AF7" s="46">
        <v>6.6000000000000003E-2</v>
      </c>
      <c r="AG7" s="46">
        <v>6.7000000000000004E-2</v>
      </c>
      <c r="AH7" s="45">
        <v>14</v>
      </c>
      <c r="AI7" s="46">
        <v>7.0999999999999994E-2</v>
      </c>
      <c r="AJ7" s="46">
        <v>7.1999999999999995E-2</v>
      </c>
      <c r="AL7" s="114" t="s">
        <v>83</v>
      </c>
    </row>
    <row r="8" spans="1:38" s="2" customFormat="1" ht="23.25" customHeight="1" x14ac:dyDescent="0.15">
      <c r="A8" s="33"/>
      <c r="B8" s="34"/>
      <c r="C8" s="81">
        <f>C7+1</f>
        <v>2</v>
      </c>
      <c r="D8" s="81" t="str">
        <f t="shared" si="0"/>
        <v xml:space="preserve">R </v>
      </c>
      <c r="E8" s="81">
        <f>IF(V8&gt;2018,V8-2018,IF(V8&gt;1988,V8-1988,IF(V8&lt;1989,V8-1925)))</f>
        <v>2</v>
      </c>
      <c r="F8" s="88"/>
      <c r="G8" s="89"/>
      <c r="H8" s="36"/>
      <c r="I8" s="37"/>
      <c r="J8" s="37"/>
      <c r="K8" s="38"/>
      <c r="L8" s="18" t="str">
        <f t="shared" si="1"/>
        <v>2年目
R 2年</v>
      </c>
      <c r="M8" s="47">
        <f t="shared" si="2"/>
        <v>14</v>
      </c>
      <c r="N8" s="25">
        <f t="shared" si="3"/>
        <v>7.1999999999999995E-2</v>
      </c>
      <c r="O8" s="39">
        <v>12</v>
      </c>
      <c r="P8" s="27" t="s">
        <v>64</v>
      </c>
      <c r="Q8" s="55">
        <v>12</v>
      </c>
      <c r="R8" s="60">
        <f t="shared" ref="R8:R24" si="6">IF(U8&gt;0,S8,IF(U7&gt;0,U7,0))+IF($I$7=$J$7,0,IF(X8&gt;0,W8,IF(X7&gt;0,X7-1,0)))</f>
        <v>160025</v>
      </c>
      <c r="S8" s="75">
        <f>-INT(-$J$7*N8*(O8/12))</f>
        <v>160025</v>
      </c>
      <c r="T8" s="75">
        <f t="shared" ref="T8:T24" si="7">T7+S8</f>
        <v>280044</v>
      </c>
      <c r="U8" s="75">
        <f t="shared" si="4"/>
        <v>1942512</v>
      </c>
      <c r="V8" s="75">
        <f t="shared" ref="V8:V24" si="8">V7+1</f>
        <v>2020</v>
      </c>
      <c r="W8" s="75">
        <f>IF(AND(U7&lt;0,V8&gt;=2008),-INT(-($I$7+INT(-$I$7*0.95)-1)/5),0)</f>
        <v>0</v>
      </c>
      <c r="X8" s="75">
        <f>($I$7+INT(-$I$7*0.95))-SUM($W$7:W8)</f>
        <v>111127</v>
      </c>
      <c r="Y8" s="57">
        <f>SUM($R$7:R8)</f>
        <v>280044</v>
      </c>
      <c r="Z8" s="49">
        <f t="shared" si="5"/>
        <v>1942513</v>
      </c>
      <c r="AA8" s="51"/>
      <c r="AB8" s="30"/>
      <c r="AC8" s="30"/>
      <c r="AD8" s="49" t="s">
        <v>59</v>
      </c>
      <c r="AE8" s="45">
        <v>8</v>
      </c>
      <c r="AF8" s="46">
        <v>0.125</v>
      </c>
      <c r="AG8" s="46">
        <v>0.125</v>
      </c>
      <c r="AH8" s="45">
        <v>8</v>
      </c>
      <c r="AI8" s="46">
        <v>0.125</v>
      </c>
      <c r="AJ8" s="46">
        <v>0.125</v>
      </c>
      <c r="AL8" s="114" t="s">
        <v>103</v>
      </c>
    </row>
    <row r="9" spans="1:38" s="2" customFormat="1" ht="23.25" customHeight="1" x14ac:dyDescent="0.15">
      <c r="A9" s="33"/>
      <c r="B9" s="34"/>
      <c r="C9" s="81">
        <f t="shared" ref="C9:C29" si="9">C8+1</f>
        <v>3</v>
      </c>
      <c r="D9" s="81" t="str">
        <f t="shared" si="0"/>
        <v xml:space="preserve">R </v>
      </c>
      <c r="E9" s="81">
        <f t="shared" ref="E9:E29" si="10">IF(V9&gt;2018,V9-2018,IF(V9&gt;1988,V9-1988,IF(V9&lt;1989,V9-1925)))</f>
        <v>3</v>
      </c>
      <c r="F9" s="88"/>
      <c r="G9" s="89"/>
      <c r="H9" s="36"/>
      <c r="I9" s="37"/>
      <c r="J9" s="37"/>
      <c r="K9" s="38"/>
      <c r="L9" s="18" t="str">
        <f t="shared" si="1"/>
        <v>3年目
R 3年</v>
      </c>
      <c r="M9" s="47">
        <f t="shared" si="2"/>
        <v>14</v>
      </c>
      <c r="N9" s="25">
        <f t="shared" si="3"/>
        <v>7.1999999999999995E-2</v>
      </c>
      <c r="O9" s="39">
        <v>12</v>
      </c>
      <c r="P9" s="27" t="s">
        <v>39</v>
      </c>
      <c r="Q9" s="55">
        <v>12</v>
      </c>
      <c r="R9" s="60">
        <f t="shared" si="6"/>
        <v>160025</v>
      </c>
      <c r="S9" s="75">
        <f t="shared" ref="S9:S29" si="11">-INT(-$J$7*N9*(O9/12))</f>
        <v>160025</v>
      </c>
      <c r="T9" s="75">
        <f t="shared" si="7"/>
        <v>440069</v>
      </c>
      <c r="U9" s="75">
        <f t="shared" si="4"/>
        <v>1782487</v>
      </c>
      <c r="V9" s="75">
        <f t="shared" si="8"/>
        <v>2021</v>
      </c>
      <c r="W9" s="75">
        <f t="shared" ref="W9:W29" si="12">IF(AND(U8&lt;0,V9&gt;=2008),-INT(-($I$7+INT(-$I$7*0.95)-1)/5),0)</f>
        <v>0</v>
      </c>
      <c r="X9" s="75">
        <f>($I$7+INT(-$I$7*0.95))-SUM($W$7:W9)</f>
        <v>111127</v>
      </c>
      <c r="Y9" s="57">
        <f>SUM($R$7:R9)</f>
        <v>440069</v>
      </c>
      <c r="Z9" s="49">
        <f t="shared" si="5"/>
        <v>1782488</v>
      </c>
      <c r="AA9" s="51"/>
      <c r="AB9" s="30"/>
      <c r="AC9" s="30"/>
      <c r="AD9" s="49" t="s">
        <v>62</v>
      </c>
      <c r="AE9" s="45">
        <v>20</v>
      </c>
      <c r="AF9" s="46">
        <v>0.05</v>
      </c>
      <c r="AG9" s="46">
        <v>0.05</v>
      </c>
      <c r="AH9" s="45">
        <v>17</v>
      </c>
      <c r="AI9" s="46">
        <v>5.8000000000000003E-2</v>
      </c>
      <c r="AJ9" s="46">
        <v>5.8999999999999997E-2</v>
      </c>
      <c r="AL9" s="113" t="s">
        <v>115</v>
      </c>
    </row>
    <row r="10" spans="1:38" s="2" customFormat="1" ht="23.25" customHeight="1" x14ac:dyDescent="0.15">
      <c r="A10" s="33"/>
      <c r="B10" s="34"/>
      <c r="C10" s="81">
        <f t="shared" si="9"/>
        <v>4</v>
      </c>
      <c r="D10" s="81" t="str">
        <f t="shared" si="0"/>
        <v xml:space="preserve">R </v>
      </c>
      <c r="E10" s="81">
        <f t="shared" si="10"/>
        <v>4</v>
      </c>
      <c r="F10" s="88"/>
      <c r="G10" s="89"/>
      <c r="H10" s="36"/>
      <c r="I10" s="37"/>
      <c r="J10" s="37"/>
      <c r="K10" s="38"/>
      <c r="L10" s="18" t="str">
        <f t="shared" si="1"/>
        <v>4年目
R 4年</v>
      </c>
      <c r="M10" s="47">
        <f t="shared" si="2"/>
        <v>14</v>
      </c>
      <c r="N10" s="25">
        <f t="shared" si="3"/>
        <v>7.1999999999999995E-2</v>
      </c>
      <c r="O10" s="39">
        <v>12</v>
      </c>
      <c r="P10" s="27" t="s">
        <v>39</v>
      </c>
      <c r="Q10" s="55">
        <v>12</v>
      </c>
      <c r="R10" s="60">
        <f t="shared" si="6"/>
        <v>160025</v>
      </c>
      <c r="S10" s="75">
        <f t="shared" si="11"/>
        <v>160025</v>
      </c>
      <c r="T10" s="75">
        <f t="shared" si="7"/>
        <v>600094</v>
      </c>
      <c r="U10" s="75">
        <f t="shared" si="4"/>
        <v>1622462</v>
      </c>
      <c r="V10" s="75">
        <f t="shared" si="8"/>
        <v>2022</v>
      </c>
      <c r="W10" s="75">
        <f t="shared" si="12"/>
        <v>0</v>
      </c>
      <c r="X10" s="75">
        <f>($I$7+INT(-$I$7*0.95))-SUM($W$7:W10)</f>
        <v>111127</v>
      </c>
      <c r="Y10" s="57">
        <f>SUM($R$7:R10)</f>
        <v>600094</v>
      </c>
      <c r="Z10" s="49">
        <f t="shared" si="5"/>
        <v>1622463</v>
      </c>
      <c r="AA10" s="51"/>
      <c r="AB10" s="30"/>
      <c r="AC10" s="30"/>
      <c r="AD10" s="49" t="s">
        <v>116</v>
      </c>
      <c r="AE10" s="45">
        <v>17</v>
      </c>
      <c r="AF10" s="46">
        <v>5.8000000000000003E-2</v>
      </c>
      <c r="AG10" s="46">
        <v>5.8999999999999997E-2</v>
      </c>
      <c r="AH10" s="45">
        <v>14</v>
      </c>
      <c r="AI10" s="46">
        <v>7.0999999999999994E-2</v>
      </c>
      <c r="AJ10" s="46">
        <v>7.1999999999999995E-2</v>
      </c>
    </row>
    <row r="11" spans="1:38" s="2" customFormat="1" ht="23.25" customHeight="1" x14ac:dyDescent="0.15">
      <c r="A11" s="33"/>
      <c r="B11" s="34"/>
      <c r="C11" s="81">
        <f t="shared" si="9"/>
        <v>5</v>
      </c>
      <c r="D11" s="81" t="str">
        <f t="shared" si="0"/>
        <v xml:space="preserve">R </v>
      </c>
      <c r="E11" s="81">
        <f t="shared" si="10"/>
        <v>5</v>
      </c>
      <c r="F11" s="88"/>
      <c r="G11" s="89"/>
      <c r="H11" s="36"/>
      <c r="I11" s="37"/>
      <c r="J11" s="37"/>
      <c r="K11" s="38"/>
      <c r="L11" s="18" t="str">
        <f t="shared" si="1"/>
        <v>5年目
R 5年</v>
      </c>
      <c r="M11" s="47">
        <f t="shared" si="2"/>
        <v>14</v>
      </c>
      <c r="N11" s="25">
        <f t="shared" si="3"/>
        <v>7.1999999999999995E-2</v>
      </c>
      <c r="O11" s="39">
        <v>12</v>
      </c>
      <c r="P11" s="27" t="s">
        <v>23</v>
      </c>
      <c r="Q11" s="55">
        <v>12</v>
      </c>
      <c r="R11" s="60">
        <f t="shared" si="6"/>
        <v>160025</v>
      </c>
      <c r="S11" s="75">
        <f t="shared" si="11"/>
        <v>160025</v>
      </c>
      <c r="T11" s="75">
        <f t="shared" si="7"/>
        <v>760119</v>
      </c>
      <c r="U11" s="75">
        <f t="shared" si="4"/>
        <v>1462437</v>
      </c>
      <c r="V11" s="75">
        <f t="shared" si="8"/>
        <v>2023</v>
      </c>
      <c r="W11" s="75">
        <f t="shared" si="12"/>
        <v>0</v>
      </c>
      <c r="X11" s="75">
        <f>($I$7+INT(-$I$7*0.95))-SUM($W$7:W11)</f>
        <v>111127</v>
      </c>
      <c r="Y11" s="57">
        <f>SUM($R$7:R11)</f>
        <v>760119</v>
      </c>
      <c r="Z11" s="49">
        <f t="shared" si="5"/>
        <v>1462438</v>
      </c>
      <c r="AA11" s="51"/>
      <c r="AB11" s="30"/>
      <c r="AC11" s="30"/>
      <c r="AD11" s="49" t="s">
        <v>117</v>
      </c>
      <c r="AE11" s="45">
        <v>17</v>
      </c>
      <c r="AF11" s="46">
        <v>5.8000000000000003E-2</v>
      </c>
      <c r="AG11" s="46">
        <v>5.8999999999999997E-2</v>
      </c>
      <c r="AH11" s="45">
        <v>17</v>
      </c>
      <c r="AI11" s="46">
        <v>5.8000000000000003E-2</v>
      </c>
      <c r="AJ11" s="46">
        <v>5.8999999999999997E-2</v>
      </c>
    </row>
    <row r="12" spans="1:38" s="2" customFormat="1" ht="23.25" customHeight="1" x14ac:dyDescent="0.15">
      <c r="A12" s="33"/>
      <c r="B12" s="34"/>
      <c r="C12" s="81">
        <f t="shared" si="9"/>
        <v>6</v>
      </c>
      <c r="D12" s="81" t="str">
        <f t="shared" si="0"/>
        <v xml:space="preserve">R </v>
      </c>
      <c r="E12" s="81">
        <f t="shared" si="10"/>
        <v>6</v>
      </c>
      <c r="F12" s="88"/>
      <c r="G12" s="89"/>
      <c r="H12" s="36"/>
      <c r="I12" s="37"/>
      <c r="J12" s="37"/>
      <c r="K12" s="38"/>
      <c r="L12" s="18" t="str">
        <f t="shared" si="1"/>
        <v>6年目
R 6年</v>
      </c>
      <c r="M12" s="47">
        <f t="shared" si="2"/>
        <v>14</v>
      </c>
      <c r="N12" s="25">
        <f t="shared" si="3"/>
        <v>7.1999999999999995E-2</v>
      </c>
      <c r="O12" s="39">
        <v>12</v>
      </c>
      <c r="P12" s="27" t="s">
        <v>65</v>
      </c>
      <c r="Q12" s="55">
        <v>12</v>
      </c>
      <c r="R12" s="60">
        <f t="shared" si="6"/>
        <v>160025</v>
      </c>
      <c r="S12" s="75">
        <f t="shared" si="11"/>
        <v>160025</v>
      </c>
      <c r="T12" s="75">
        <f t="shared" si="7"/>
        <v>920144</v>
      </c>
      <c r="U12" s="75">
        <f t="shared" si="4"/>
        <v>1302412</v>
      </c>
      <c r="V12" s="75">
        <f t="shared" si="8"/>
        <v>2024</v>
      </c>
      <c r="W12" s="75">
        <f t="shared" si="12"/>
        <v>0</v>
      </c>
      <c r="X12" s="75">
        <f>($I$7+INT(-$I$7*0.95))-SUM($W$7:W12)</f>
        <v>111127</v>
      </c>
      <c r="Y12" s="57">
        <f>SUM($R$7:R12)</f>
        <v>920144</v>
      </c>
      <c r="Z12" s="49">
        <f t="shared" si="5"/>
        <v>1302413</v>
      </c>
      <c r="AA12" s="51"/>
      <c r="AB12" s="30"/>
      <c r="AC12" s="30"/>
      <c r="AD12" s="49" t="s">
        <v>118</v>
      </c>
      <c r="AE12" s="45">
        <v>20</v>
      </c>
      <c r="AF12" s="46">
        <v>0.05</v>
      </c>
      <c r="AG12" s="46">
        <v>0.05</v>
      </c>
      <c r="AH12" s="45">
        <v>17</v>
      </c>
      <c r="AI12" s="46">
        <v>5.8000000000000003E-2</v>
      </c>
      <c r="AJ12" s="46">
        <v>5.8999999999999997E-2</v>
      </c>
    </row>
    <row r="13" spans="1:38" s="2" customFormat="1" ht="23.25" customHeight="1" x14ac:dyDescent="0.15">
      <c r="A13" s="33"/>
      <c r="B13" s="34"/>
      <c r="C13" s="81">
        <f t="shared" si="9"/>
        <v>7</v>
      </c>
      <c r="D13" s="81" t="str">
        <f t="shared" si="0"/>
        <v xml:space="preserve">R </v>
      </c>
      <c r="E13" s="81">
        <f t="shared" si="10"/>
        <v>7</v>
      </c>
      <c r="F13" s="88"/>
      <c r="G13" s="89"/>
      <c r="H13" s="36"/>
      <c r="I13" s="37"/>
      <c r="J13" s="37"/>
      <c r="K13" s="38"/>
      <c r="L13" s="18" t="str">
        <f t="shared" si="1"/>
        <v>7年目
R 7年</v>
      </c>
      <c r="M13" s="47">
        <f t="shared" si="2"/>
        <v>14</v>
      </c>
      <c r="N13" s="25">
        <f t="shared" si="3"/>
        <v>7.1999999999999995E-2</v>
      </c>
      <c r="O13" s="39">
        <v>12</v>
      </c>
      <c r="P13" s="27" t="s">
        <v>64</v>
      </c>
      <c r="Q13" s="55">
        <v>12</v>
      </c>
      <c r="R13" s="60">
        <f t="shared" si="6"/>
        <v>160025</v>
      </c>
      <c r="S13" s="75">
        <f t="shared" si="11"/>
        <v>160025</v>
      </c>
      <c r="T13" s="75">
        <f t="shared" si="7"/>
        <v>1080169</v>
      </c>
      <c r="U13" s="75">
        <f t="shared" si="4"/>
        <v>1142387</v>
      </c>
      <c r="V13" s="75">
        <f t="shared" si="8"/>
        <v>2025</v>
      </c>
      <c r="W13" s="75">
        <f t="shared" si="12"/>
        <v>0</v>
      </c>
      <c r="X13" s="75">
        <f>($I$7+INT(-$I$7*0.95))-SUM($W$7:W13)</f>
        <v>111127</v>
      </c>
      <c r="Y13" s="57">
        <f>SUM($R$7:R13)</f>
        <v>1080169</v>
      </c>
      <c r="Z13" s="49">
        <f t="shared" si="5"/>
        <v>1142388</v>
      </c>
      <c r="AA13" s="51"/>
      <c r="AB13" s="30"/>
      <c r="AC13" s="30"/>
      <c r="AD13" s="49" t="s">
        <v>119</v>
      </c>
      <c r="AE13" s="45">
        <v>17</v>
      </c>
      <c r="AF13" s="46">
        <v>5.8000000000000003E-2</v>
      </c>
      <c r="AG13" s="46">
        <v>5.8999999999999997E-2</v>
      </c>
      <c r="AH13" s="45">
        <v>14</v>
      </c>
      <c r="AI13" s="46">
        <v>7.0999999999999994E-2</v>
      </c>
      <c r="AJ13" s="46">
        <v>7.1999999999999995E-2</v>
      </c>
    </row>
    <row r="14" spans="1:38" s="2" customFormat="1" ht="23.25" customHeight="1" x14ac:dyDescent="0.15">
      <c r="A14" s="33"/>
      <c r="B14" s="34"/>
      <c r="C14" s="81">
        <f t="shared" si="9"/>
        <v>8</v>
      </c>
      <c r="D14" s="81" t="str">
        <f t="shared" si="0"/>
        <v xml:space="preserve">R </v>
      </c>
      <c r="E14" s="81">
        <f t="shared" si="10"/>
        <v>8</v>
      </c>
      <c r="F14" s="88"/>
      <c r="G14" s="89"/>
      <c r="H14" s="36"/>
      <c r="I14" s="37"/>
      <c r="J14" s="37"/>
      <c r="K14" s="38"/>
      <c r="L14" s="18" t="str">
        <f t="shared" si="1"/>
        <v>8年目
R 8年</v>
      </c>
      <c r="M14" s="47">
        <f t="shared" si="2"/>
        <v>14</v>
      </c>
      <c r="N14" s="25">
        <f t="shared" si="3"/>
        <v>7.1999999999999995E-2</v>
      </c>
      <c r="O14" s="39">
        <v>12</v>
      </c>
      <c r="P14" s="27" t="s">
        <v>64</v>
      </c>
      <c r="Q14" s="55">
        <v>12</v>
      </c>
      <c r="R14" s="60">
        <f t="shared" si="6"/>
        <v>160025</v>
      </c>
      <c r="S14" s="75">
        <f t="shared" si="11"/>
        <v>160025</v>
      </c>
      <c r="T14" s="75">
        <f t="shared" si="7"/>
        <v>1240194</v>
      </c>
      <c r="U14" s="75">
        <f t="shared" si="4"/>
        <v>982362</v>
      </c>
      <c r="V14" s="75">
        <f t="shared" si="8"/>
        <v>2026</v>
      </c>
      <c r="W14" s="75">
        <f t="shared" si="12"/>
        <v>0</v>
      </c>
      <c r="X14" s="75">
        <f>($I$7+INT(-$I$7*0.95))-SUM($W$7:W14)</f>
        <v>111127</v>
      </c>
      <c r="Y14" s="57">
        <f>SUM($R$7:R14)</f>
        <v>1240194</v>
      </c>
      <c r="Z14" s="49">
        <f t="shared" si="5"/>
        <v>982363</v>
      </c>
      <c r="AA14" s="51"/>
      <c r="AB14" s="30"/>
      <c r="AC14" s="30"/>
      <c r="AD14" s="49" t="s">
        <v>120</v>
      </c>
      <c r="AE14" s="45">
        <v>17</v>
      </c>
      <c r="AF14" s="46">
        <v>5.8000000000000003E-2</v>
      </c>
      <c r="AG14" s="46">
        <v>5.8999999999999997E-2</v>
      </c>
      <c r="AH14" s="45">
        <v>17</v>
      </c>
      <c r="AI14" s="46">
        <v>5.8000000000000003E-2</v>
      </c>
      <c r="AJ14" s="46">
        <v>5.8999999999999997E-2</v>
      </c>
    </row>
    <row r="15" spans="1:38" s="2" customFormat="1" ht="23.25" customHeight="1" x14ac:dyDescent="0.15">
      <c r="A15" s="33"/>
      <c r="B15" s="34"/>
      <c r="C15" s="81">
        <f t="shared" si="9"/>
        <v>9</v>
      </c>
      <c r="D15" s="81" t="str">
        <f t="shared" si="0"/>
        <v xml:space="preserve">R </v>
      </c>
      <c r="E15" s="81">
        <f t="shared" si="10"/>
        <v>9</v>
      </c>
      <c r="F15" s="88"/>
      <c r="G15" s="89"/>
      <c r="H15" s="36"/>
      <c r="I15" s="37"/>
      <c r="J15" s="37"/>
      <c r="K15" s="38"/>
      <c r="L15" s="18" t="str">
        <f t="shared" si="1"/>
        <v>9年目
R 9年</v>
      </c>
      <c r="M15" s="47">
        <f t="shared" si="2"/>
        <v>14</v>
      </c>
      <c r="N15" s="25">
        <f t="shared" si="3"/>
        <v>7.1999999999999995E-2</v>
      </c>
      <c r="O15" s="39">
        <v>12</v>
      </c>
      <c r="P15" s="27" t="s">
        <v>64</v>
      </c>
      <c r="Q15" s="55">
        <v>12</v>
      </c>
      <c r="R15" s="60">
        <f t="shared" si="6"/>
        <v>160025</v>
      </c>
      <c r="S15" s="75">
        <f t="shared" si="11"/>
        <v>160025</v>
      </c>
      <c r="T15" s="75">
        <f t="shared" si="7"/>
        <v>1400219</v>
      </c>
      <c r="U15" s="75">
        <f t="shared" si="4"/>
        <v>822337</v>
      </c>
      <c r="V15" s="75">
        <f t="shared" si="8"/>
        <v>2027</v>
      </c>
      <c r="W15" s="75">
        <f t="shared" si="12"/>
        <v>0</v>
      </c>
      <c r="X15" s="75">
        <f>($I$7+INT(-$I$7*0.95))-SUM($W$7:W15)</f>
        <v>111127</v>
      </c>
      <c r="Y15" s="57">
        <f>SUM($R$7:R15)</f>
        <v>1400219</v>
      </c>
      <c r="Z15" s="49">
        <f t="shared" si="5"/>
        <v>822338</v>
      </c>
      <c r="AA15" s="51"/>
      <c r="AB15" s="30"/>
      <c r="AC15" s="30"/>
      <c r="AD15" s="49" t="s">
        <v>121</v>
      </c>
      <c r="AE15" s="45">
        <v>20</v>
      </c>
      <c r="AF15" s="46">
        <v>0.05</v>
      </c>
      <c r="AG15" s="46">
        <v>0.05</v>
      </c>
      <c r="AH15" s="45">
        <v>17</v>
      </c>
      <c r="AI15" s="46">
        <v>5.8000000000000003E-2</v>
      </c>
      <c r="AJ15" s="46">
        <v>5.8999999999999997E-2</v>
      </c>
    </row>
    <row r="16" spans="1:38" s="2" customFormat="1" ht="23.25" customHeight="1" x14ac:dyDescent="0.15">
      <c r="A16" s="33"/>
      <c r="B16" s="34"/>
      <c r="C16" s="81">
        <f t="shared" si="9"/>
        <v>10</v>
      </c>
      <c r="D16" s="81" t="str">
        <f t="shared" si="0"/>
        <v xml:space="preserve">R </v>
      </c>
      <c r="E16" s="81">
        <f t="shared" si="10"/>
        <v>10</v>
      </c>
      <c r="F16" s="88"/>
      <c r="G16" s="89"/>
      <c r="H16" s="36"/>
      <c r="I16" s="37"/>
      <c r="J16" s="37"/>
      <c r="K16" s="38"/>
      <c r="L16" s="18" t="str">
        <f t="shared" si="1"/>
        <v>10年目
R 10年</v>
      </c>
      <c r="M16" s="47">
        <f t="shared" si="2"/>
        <v>14</v>
      </c>
      <c r="N16" s="25">
        <f t="shared" si="3"/>
        <v>7.1999999999999995E-2</v>
      </c>
      <c r="O16" s="39">
        <v>12</v>
      </c>
      <c r="P16" s="27" t="s">
        <v>64</v>
      </c>
      <c r="Q16" s="55">
        <v>12</v>
      </c>
      <c r="R16" s="60">
        <f t="shared" si="6"/>
        <v>160025</v>
      </c>
      <c r="S16" s="75">
        <f t="shared" si="11"/>
        <v>160025</v>
      </c>
      <c r="T16" s="75">
        <f t="shared" si="7"/>
        <v>1560244</v>
      </c>
      <c r="U16" s="75">
        <f t="shared" si="4"/>
        <v>662312</v>
      </c>
      <c r="V16" s="75">
        <f t="shared" si="8"/>
        <v>2028</v>
      </c>
      <c r="W16" s="75">
        <f t="shared" si="12"/>
        <v>0</v>
      </c>
      <c r="X16" s="75">
        <f>($I$7+INT(-$I$7*0.95))-SUM($W$7:W16)</f>
        <v>111127</v>
      </c>
      <c r="Y16" s="57">
        <f>SUM($R$7:R16)</f>
        <v>1560244</v>
      </c>
      <c r="Z16" s="49">
        <f t="shared" si="5"/>
        <v>662313</v>
      </c>
      <c r="AA16" s="51"/>
      <c r="AB16" s="30"/>
      <c r="AC16" s="30"/>
      <c r="AD16" s="49" t="s">
        <v>122</v>
      </c>
      <c r="AE16" s="45">
        <v>17</v>
      </c>
      <c r="AF16" s="46">
        <v>5.8000000000000003E-2</v>
      </c>
      <c r="AG16" s="46">
        <v>5.8999999999999997E-2</v>
      </c>
      <c r="AH16" s="45">
        <v>14</v>
      </c>
      <c r="AI16" s="46">
        <v>7.0999999999999994E-2</v>
      </c>
      <c r="AJ16" s="46">
        <v>7.1999999999999995E-2</v>
      </c>
    </row>
    <row r="17" spans="1:36" s="2" customFormat="1" ht="23.25" customHeight="1" x14ac:dyDescent="0.15">
      <c r="A17" s="33"/>
      <c r="B17" s="34"/>
      <c r="C17" s="81">
        <f t="shared" si="9"/>
        <v>11</v>
      </c>
      <c r="D17" s="81" t="str">
        <f t="shared" si="0"/>
        <v xml:space="preserve">R </v>
      </c>
      <c r="E17" s="81">
        <f t="shared" si="10"/>
        <v>11</v>
      </c>
      <c r="F17" s="88"/>
      <c r="G17" s="89"/>
      <c r="H17" s="36"/>
      <c r="I17" s="37"/>
      <c r="J17" s="37"/>
      <c r="K17" s="38"/>
      <c r="L17" s="18" t="str">
        <f t="shared" si="1"/>
        <v>11年目
R 11年</v>
      </c>
      <c r="M17" s="47">
        <f t="shared" si="2"/>
        <v>14</v>
      </c>
      <c r="N17" s="25">
        <f t="shared" si="3"/>
        <v>7.1999999999999995E-2</v>
      </c>
      <c r="O17" s="39">
        <v>12</v>
      </c>
      <c r="P17" s="27" t="s">
        <v>64</v>
      </c>
      <c r="Q17" s="55">
        <v>12</v>
      </c>
      <c r="R17" s="60">
        <f t="shared" si="6"/>
        <v>160025</v>
      </c>
      <c r="S17" s="75">
        <f t="shared" si="11"/>
        <v>160025</v>
      </c>
      <c r="T17" s="75">
        <f t="shared" si="7"/>
        <v>1720269</v>
      </c>
      <c r="U17" s="75">
        <f t="shared" si="4"/>
        <v>502287</v>
      </c>
      <c r="V17" s="75">
        <f t="shared" si="8"/>
        <v>2029</v>
      </c>
      <c r="W17" s="75">
        <f t="shared" si="12"/>
        <v>0</v>
      </c>
      <c r="X17" s="75">
        <f>($I$7+INT(-$I$7*0.95))-SUM($W$7:W17)</f>
        <v>111127</v>
      </c>
      <c r="Y17" s="57">
        <f>SUM($R$7:R17)</f>
        <v>1720269</v>
      </c>
      <c r="Z17" s="49">
        <f t="shared" si="5"/>
        <v>502288</v>
      </c>
      <c r="AA17" s="51"/>
      <c r="AB17" s="30"/>
      <c r="AC17" s="30"/>
      <c r="AD17" s="49" t="s">
        <v>123</v>
      </c>
      <c r="AE17" s="45">
        <v>17</v>
      </c>
      <c r="AF17" s="46">
        <v>5.8000000000000003E-2</v>
      </c>
      <c r="AG17" s="46">
        <v>5.8999999999999997E-2</v>
      </c>
      <c r="AH17" s="45">
        <v>17</v>
      </c>
      <c r="AI17" s="46">
        <v>5.8000000000000003E-2</v>
      </c>
      <c r="AJ17" s="46">
        <v>5.8999999999999997E-2</v>
      </c>
    </row>
    <row r="18" spans="1:36" s="2" customFormat="1" ht="23.25" customHeight="1" x14ac:dyDescent="0.15">
      <c r="A18" s="33"/>
      <c r="B18" s="34"/>
      <c r="C18" s="81">
        <f t="shared" si="9"/>
        <v>12</v>
      </c>
      <c r="D18" s="81" t="str">
        <f t="shared" si="0"/>
        <v xml:space="preserve">R </v>
      </c>
      <c r="E18" s="81">
        <f t="shared" si="10"/>
        <v>12</v>
      </c>
      <c r="F18" s="88"/>
      <c r="G18" s="89"/>
      <c r="H18" s="36"/>
      <c r="I18" s="37"/>
      <c r="J18" s="37"/>
      <c r="K18" s="38"/>
      <c r="L18" s="18" t="str">
        <f t="shared" si="1"/>
        <v>12年目
R 12年</v>
      </c>
      <c r="M18" s="47">
        <f t="shared" si="2"/>
        <v>14</v>
      </c>
      <c r="N18" s="25">
        <f t="shared" si="3"/>
        <v>7.1999999999999995E-2</v>
      </c>
      <c r="O18" s="39">
        <v>12</v>
      </c>
      <c r="P18" s="27" t="s">
        <v>64</v>
      </c>
      <c r="Q18" s="55">
        <v>12</v>
      </c>
      <c r="R18" s="60">
        <f t="shared" si="6"/>
        <v>160025</v>
      </c>
      <c r="S18" s="75">
        <f t="shared" si="11"/>
        <v>160025</v>
      </c>
      <c r="T18" s="75">
        <f t="shared" si="7"/>
        <v>1880294</v>
      </c>
      <c r="U18" s="75">
        <f t="shared" si="4"/>
        <v>342262</v>
      </c>
      <c r="V18" s="75">
        <f t="shared" si="8"/>
        <v>2030</v>
      </c>
      <c r="W18" s="75">
        <f t="shared" si="12"/>
        <v>0</v>
      </c>
      <c r="X18" s="75">
        <f>($I$7+INT(-$I$7*0.95))-SUM($W$7:W18)</f>
        <v>111127</v>
      </c>
      <c r="Y18" s="57">
        <f>SUM($R$7:R18)</f>
        <v>1880294</v>
      </c>
      <c r="Z18" s="49">
        <f t="shared" si="5"/>
        <v>342263</v>
      </c>
      <c r="AA18" s="51"/>
      <c r="AB18" s="30"/>
      <c r="AC18" s="30"/>
      <c r="AD18" s="49" t="s">
        <v>124</v>
      </c>
      <c r="AE18" s="45">
        <v>20</v>
      </c>
      <c r="AF18" s="46">
        <v>0.05</v>
      </c>
      <c r="AG18" s="46">
        <v>0.05</v>
      </c>
      <c r="AH18" s="45">
        <v>17</v>
      </c>
      <c r="AI18" s="46">
        <v>5.8000000000000003E-2</v>
      </c>
      <c r="AJ18" s="46">
        <v>5.8999999999999997E-2</v>
      </c>
    </row>
    <row r="19" spans="1:36" s="2" customFormat="1" ht="23.25" customHeight="1" x14ac:dyDescent="0.15">
      <c r="A19" s="33"/>
      <c r="B19" s="34"/>
      <c r="C19" s="81">
        <f t="shared" si="9"/>
        <v>13</v>
      </c>
      <c r="D19" s="81" t="str">
        <f t="shared" si="0"/>
        <v xml:space="preserve">R </v>
      </c>
      <c r="E19" s="81">
        <f t="shared" si="10"/>
        <v>13</v>
      </c>
      <c r="F19" s="88"/>
      <c r="G19" s="89"/>
      <c r="H19" s="36"/>
      <c r="I19" s="37"/>
      <c r="J19" s="37"/>
      <c r="K19" s="38"/>
      <c r="L19" s="18" t="str">
        <f t="shared" si="1"/>
        <v>13年目
R 13年</v>
      </c>
      <c r="M19" s="47">
        <f t="shared" si="2"/>
        <v>14</v>
      </c>
      <c r="N19" s="25">
        <f t="shared" si="3"/>
        <v>7.1999999999999995E-2</v>
      </c>
      <c r="O19" s="39">
        <v>12</v>
      </c>
      <c r="P19" s="27" t="s">
        <v>48</v>
      </c>
      <c r="Q19" s="55">
        <v>12</v>
      </c>
      <c r="R19" s="60">
        <f t="shared" si="6"/>
        <v>160025</v>
      </c>
      <c r="S19" s="75">
        <f t="shared" si="11"/>
        <v>160025</v>
      </c>
      <c r="T19" s="75">
        <f t="shared" si="7"/>
        <v>2040319</v>
      </c>
      <c r="U19" s="75">
        <f t="shared" si="4"/>
        <v>182237</v>
      </c>
      <c r="V19" s="75">
        <f t="shared" si="8"/>
        <v>2031</v>
      </c>
      <c r="W19" s="75">
        <f t="shared" si="12"/>
        <v>0</v>
      </c>
      <c r="X19" s="75">
        <f>($I$7+INT(-$I$7*0.95))-SUM($W$7:W19)</f>
        <v>111127</v>
      </c>
      <c r="Y19" s="57">
        <f>SUM($R$7:R19)</f>
        <v>2040319</v>
      </c>
      <c r="Z19" s="49">
        <f t="shared" si="5"/>
        <v>182238</v>
      </c>
      <c r="AA19" s="51"/>
      <c r="AB19" s="30"/>
      <c r="AC19" s="30"/>
      <c r="AD19" s="49" t="s">
        <v>125</v>
      </c>
      <c r="AE19" s="45">
        <v>17</v>
      </c>
      <c r="AF19" s="46">
        <v>5.8000000000000003E-2</v>
      </c>
      <c r="AG19" s="46">
        <v>5.8999999999999997E-2</v>
      </c>
      <c r="AH19" s="45">
        <v>14</v>
      </c>
      <c r="AI19" s="46">
        <v>7.0999999999999994E-2</v>
      </c>
      <c r="AJ19" s="46">
        <v>7.1999999999999995E-2</v>
      </c>
    </row>
    <row r="20" spans="1:36" s="2" customFormat="1" ht="23.25" customHeight="1" x14ac:dyDescent="0.15">
      <c r="A20" s="33"/>
      <c r="B20" s="34"/>
      <c r="C20" s="81">
        <f t="shared" si="9"/>
        <v>14</v>
      </c>
      <c r="D20" s="81" t="str">
        <f t="shared" si="0"/>
        <v xml:space="preserve">R </v>
      </c>
      <c r="E20" s="81">
        <f t="shared" si="10"/>
        <v>14</v>
      </c>
      <c r="F20" s="88"/>
      <c r="G20" s="89"/>
      <c r="H20" s="36"/>
      <c r="I20" s="37"/>
      <c r="J20" s="37"/>
      <c r="K20" s="38"/>
      <c r="L20" s="18" t="str">
        <f t="shared" si="1"/>
        <v>14年目
R 14年</v>
      </c>
      <c r="M20" s="47">
        <f t="shared" si="2"/>
        <v>14</v>
      </c>
      <c r="N20" s="25">
        <f t="shared" si="3"/>
        <v>7.1999999999999995E-2</v>
      </c>
      <c r="O20" s="39">
        <v>12</v>
      </c>
      <c r="P20" s="27" t="s">
        <v>48</v>
      </c>
      <c r="Q20" s="55">
        <v>12</v>
      </c>
      <c r="R20" s="60">
        <f t="shared" si="6"/>
        <v>160025</v>
      </c>
      <c r="S20" s="75">
        <f t="shared" si="11"/>
        <v>160025</v>
      </c>
      <c r="T20" s="75">
        <f t="shared" si="7"/>
        <v>2200344</v>
      </c>
      <c r="U20" s="75">
        <f t="shared" si="4"/>
        <v>22212</v>
      </c>
      <c r="V20" s="75">
        <f t="shared" si="8"/>
        <v>2032</v>
      </c>
      <c r="W20" s="75">
        <f t="shared" si="12"/>
        <v>0</v>
      </c>
      <c r="X20" s="75">
        <f>($I$7+INT(-$I$7*0.95))-SUM($W$7:W20)</f>
        <v>111127</v>
      </c>
      <c r="Y20" s="57">
        <f>SUM($R$7:R20)</f>
        <v>2200344</v>
      </c>
      <c r="Z20" s="49">
        <f t="shared" si="5"/>
        <v>22213</v>
      </c>
      <c r="AA20" s="51"/>
      <c r="AD20" s="49" t="s">
        <v>126</v>
      </c>
      <c r="AE20" s="45">
        <v>17</v>
      </c>
      <c r="AF20" s="46">
        <v>5.8000000000000003E-2</v>
      </c>
      <c r="AG20" s="46">
        <v>5.8999999999999997E-2</v>
      </c>
      <c r="AH20" s="45">
        <v>17</v>
      </c>
      <c r="AI20" s="46">
        <v>5.8000000000000003E-2</v>
      </c>
      <c r="AJ20" s="46">
        <v>5.8999999999999997E-2</v>
      </c>
    </row>
    <row r="21" spans="1:36" s="2" customFormat="1" ht="23.25" customHeight="1" x14ac:dyDescent="0.15">
      <c r="A21" s="33"/>
      <c r="B21" s="34"/>
      <c r="C21" s="81">
        <f t="shared" si="9"/>
        <v>15</v>
      </c>
      <c r="D21" s="81" t="str">
        <f t="shared" si="0"/>
        <v xml:space="preserve">R </v>
      </c>
      <c r="E21" s="81">
        <f t="shared" si="10"/>
        <v>15</v>
      </c>
      <c r="F21" s="88"/>
      <c r="G21" s="89"/>
      <c r="H21" s="36"/>
      <c r="I21" s="37"/>
      <c r="J21" s="37"/>
      <c r="K21" s="38"/>
      <c r="L21" s="18" t="str">
        <f t="shared" si="1"/>
        <v>15年目
R 15年</v>
      </c>
      <c r="M21" s="47">
        <f t="shared" si="2"/>
        <v>14</v>
      </c>
      <c r="N21" s="25">
        <f t="shared" si="3"/>
        <v>7.1999999999999995E-2</v>
      </c>
      <c r="O21" s="39">
        <v>12</v>
      </c>
      <c r="P21" s="27" t="s">
        <v>48</v>
      </c>
      <c r="Q21" s="55">
        <v>12</v>
      </c>
      <c r="R21" s="60">
        <f t="shared" si="6"/>
        <v>22212</v>
      </c>
      <c r="S21" s="75">
        <f t="shared" si="11"/>
        <v>160025</v>
      </c>
      <c r="T21" s="75">
        <f t="shared" si="7"/>
        <v>2360369</v>
      </c>
      <c r="U21" s="75">
        <f t="shared" si="4"/>
        <v>-137813</v>
      </c>
      <c r="V21" s="75">
        <f t="shared" si="8"/>
        <v>2033</v>
      </c>
      <c r="W21" s="75">
        <f t="shared" si="12"/>
        <v>0</v>
      </c>
      <c r="X21" s="75">
        <f>($I$7+INT(-$I$7*0.95))-SUM($W$7:W21)</f>
        <v>111127</v>
      </c>
      <c r="Y21" s="57">
        <f>SUM($R$7:R21)</f>
        <v>2222556</v>
      </c>
      <c r="Z21" s="49">
        <f t="shared" si="5"/>
        <v>1</v>
      </c>
      <c r="AA21" s="51"/>
      <c r="AD21" s="49" t="s">
        <v>127</v>
      </c>
      <c r="AE21" s="45">
        <v>20</v>
      </c>
      <c r="AF21" s="46">
        <v>0.05</v>
      </c>
      <c r="AG21" s="46">
        <v>0.05</v>
      </c>
      <c r="AH21" s="45">
        <v>17</v>
      </c>
      <c r="AI21" s="46">
        <v>5.8000000000000003E-2</v>
      </c>
      <c r="AJ21" s="46">
        <v>5.8999999999999997E-2</v>
      </c>
    </row>
    <row r="22" spans="1:36" s="2" customFormat="1" ht="23.25" customHeight="1" x14ac:dyDescent="0.15">
      <c r="A22" s="33"/>
      <c r="B22" s="34"/>
      <c r="C22" s="81">
        <f t="shared" si="9"/>
        <v>16</v>
      </c>
      <c r="D22" s="81" t="str">
        <f t="shared" si="0"/>
        <v xml:space="preserve">R </v>
      </c>
      <c r="E22" s="81">
        <f t="shared" si="10"/>
        <v>16</v>
      </c>
      <c r="F22" s="88"/>
      <c r="G22" s="89"/>
      <c r="H22" s="36"/>
      <c r="I22" s="37"/>
      <c r="J22" s="37"/>
      <c r="K22" s="38"/>
      <c r="L22" s="18" t="str">
        <f t="shared" si="1"/>
        <v>16年目
R 16年</v>
      </c>
      <c r="M22" s="47">
        <f t="shared" si="2"/>
        <v>14</v>
      </c>
      <c r="N22" s="25">
        <f t="shared" si="3"/>
        <v>7.1999999999999995E-2</v>
      </c>
      <c r="O22" s="39">
        <v>12</v>
      </c>
      <c r="P22" s="27" t="s">
        <v>48</v>
      </c>
      <c r="Q22" s="55">
        <v>12</v>
      </c>
      <c r="R22" s="60">
        <f t="shared" si="6"/>
        <v>0</v>
      </c>
      <c r="S22" s="75">
        <f t="shared" si="11"/>
        <v>160025</v>
      </c>
      <c r="T22" s="75">
        <f t="shared" si="7"/>
        <v>2520394</v>
      </c>
      <c r="U22" s="75">
        <f t="shared" si="4"/>
        <v>-297838</v>
      </c>
      <c r="V22" s="75">
        <f t="shared" si="8"/>
        <v>2034</v>
      </c>
      <c r="W22" s="75">
        <f t="shared" si="12"/>
        <v>22226</v>
      </c>
      <c r="X22" s="75">
        <f>($I$7+INT(-$I$7*0.95))-SUM($W$7:W22)</f>
        <v>88901</v>
      </c>
      <c r="Y22" s="57">
        <f>SUM($R$7:R22)</f>
        <v>2222556</v>
      </c>
      <c r="Z22" s="49">
        <f t="shared" si="5"/>
        <v>1</v>
      </c>
      <c r="AA22" s="51"/>
      <c r="AD22" s="49" t="s">
        <v>128</v>
      </c>
      <c r="AE22" s="45">
        <v>13</v>
      </c>
      <c r="AF22" s="46">
        <v>7.5999999999999998E-2</v>
      </c>
      <c r="AG22" s="46">
        <v>7.6999999999999999E-2</v>
      </c>
      <c r="AH22" s="45">
        <v>14</v>
      </c>
      <c r="AI22" s="46">
        <v>7.0999999999999994E-2</v>
      </c>
      <c r="AJ22" s="46">
        <v>7.1999999999999995E-2</v>
      </c>
    </row>
    <row r="23" spans="1:36" s="2" customFormat="1" ht="23.25" customHeight="1" x14ac:dyDescent="0.15">
      <c r="A23" s="33"/>
      <c r="B23" s="34"/>
      <c r="C23" s="81">
        <f t="shared" si="9"/>
        <v>17</v>
      </c>
      <c r="D23" s="81" t="str">
        <f t="shared" si="0"/>
        <v xml:space="preserve">R </v>
      </c>
      <c r="E23" s="81">
        <f t="shared" si="10"/>
        <v>17</v>
      </c>
      <c r="F23" s="88"/>
      <c r="G23" s="89"/>
      <c r="H23" s="36"/>
      <c r="I23" s="37"/>
      <c r="J23" s="37"/>
      <c r="K23" s="38"/>
      <c r="L23" s="18" t="str">
        <f t="shared" si="1"/>
        <v>17年目
R 17年</v>
      </c>
      <c r="M23" s="47">
        <f t="shared" si="2"/>
        <v>14</v>
      </c>
      <c r="N23" s="25">
        <f t="shared" si="3"/>
        <v>7.1999999999999995E-2</v>
      </c>
      <c r="O23" s="39">
        <v>12</v>
      </c>
      <c r="P23" s="27" t="s">
        <v>48</v>
      </c>
      <c r="Q23" s="55">
        <v>12</v>
      </c>
      <c r="R23" s="60">
        <f t="shared" si="6"/>
        <v>0</v>
      </c>
      <c r="S23" s="75">
        <f t="shared" si="11"/>
        <v>160025</v>
      </c>
      <c r="T23" s="75">
        <f t="shared" si="7"/>
        <v>2680419</v>
      </c>
      <c r="U23" s="75">
        <f t="shared" si="4"/>
        <v>-457863</v>
      </c>
      <c r="V23" s="75">
        <f t="shared" si="8"/>
        <v>2035</v>
      </c>
      <c r="W23" s="75">
        <f t="shared" si="12"/>
        <v>22226</v>
      </c>
      <c r="X23" s="75">
        <f>($I$7+INT(-$I$7*0.95))-SUM($W$7:W23)</f>
        <v>66675</v>
      </c>
      <c r="Y23" s="57">
        <f>SUM($R$7:R23)</f>
        <v>2222556</v>
      </c>
      <c r="Z23" s="49">
        <f t="shared" si="5"/>
        <v>1</v>
      </c>
      <c r="AA23" s="51"/>
      <c r="AD23" s="49" t="s">
        <v>129</v>
      </c>
      <c r="AE23" s="45">
        <v>15</v>
      </c>
      <c r="AF23" s="46">
        <v>6.6000000000000003E-2</v>
      </c>
      <c r="AG23" s="46">
        <v>6.7000000000000004E-2</v>
      </c>
      <c r="AH23" s="45">
        <v>14</v>
      </c>
      <c r="AI23" s="46">
        <v>7.0999999999999994E-2</v>
      </c>
      <c r="AJ23" s="46">
        <v>7.1999999999999995E-2</v>
      </c>
    </row>
    <row r="24" spans="1:36" s="2" customFormat="1" ht="23.25" customHeight="1" x14ac:dyDescent="0.15">
      <c r="A24" s="33"/>
      <c r="B24" s="34"/>
      <c r="C24" s="81">
        <f t="shared" si="9"/>
        <v>18</v>
      </c>
      <c r="D24" s="81" t="str">
        <f t="shared" si="0"/>
        <v xml:space="preserve">R </v>
      </c>
      <c r="E24" s="81">
        <f t="shared" si="10"/>
        <v>18</v>
      </c>
      <c r="F24" s="88"/>
      <c r="G24" s="89"/>
      <c r="H24" s="36"/>
      <c r="I24" s="37"/>
      <c r="J24" s="37"/>
      <c r="K24" s="38"/>
      <c r="L24" s="18" t="str">
        <f t="shared" si="1"/>
        <v>18年目
R 18年</v>
      </c>
      <c r="M24" s="47">
        <f t="shared" si="2"/>
        <v>14</v>
      </c>
      <c r="N24" s="25">
        <f t="shared" si="3"/>
        <v>7.1999999999999995E-2</v>
      </c>
      <c r="O24" s="39">
        <v>12</v>
      </c>
      <c r="P24" s="27" t="s">
        <v>48</v>
      </c>
      <c r="Q24" s="55">
        <v>12</v>
      </c>
      <c r="R24" s="60">
        <f t="shared" si="6"/>
        <v>0</v>
      </c>
      <c r="S24" s="76">
        <f t="shared" si="11"/>
        <v>160025</v>
      </c>
      <c r="T24" s="76">
        <f t="shared" si="7"/>
        <v>2840444</v>
      </c>
      <c r="U24" s="76">
        <f t="shared" si="4"/>
        <v>-617888</v>
      </c>
      <c r="V24" s="76">
        <f t="shared" si="8"/>
        <v>2036</v>
      </c>
      <c r="W24" s="76">
        <f t="shared" si="12"/>
        <v>22226</v>
      </c>
      <c r="X24" s="76">
        <f>($I$7+INT(-$I$7*0.95))-SUM($W$7:W24)</f>
        <v>44449</v>
      </c>
      <c r="Y24" s="57">
        <f>SUM($R$7:R24)</f>
        <v>2222556</v>
      </c>
      <c r="Z24" s="49">
        <f t="shared" si="5"/>
        <v>1</v>
      </c>
      <c r="AA24" s="51"/>
      <c r="AD24" s="49" t="s">
        <v>68</v>
      </c>
      <c r="AE24" s="45">
        <v>5</v>
      </c>
      <c r="AF24" s="46">
        <v>0.2</v>
      </c>
      <c r="AG24" s="46">
        <v>0.2</v>
      </c>
      <c r="AH24" s="45">
        <v>5</v>
      </c>
      <c r="AI24" s="46">
        <v>0.2</v>
      </c>
      <c r="AJ24" s="46">
        <v>0.2</v>
      </c>
    </row>
    <row r="25" spans="1:36" s="2" customFormat="1" ht="23.25" customHeight="1" x14ac:dyDescent="0.15">
      <c r="A25" s="33"/>
      <c r="B25" s="34"/>
      <c r="C25" s="81">
        <f t="shared" si="9"/>
        <v>19</v>
      </c>
      <c r="D25" s="81" t="str">
        <f t="shared" si="0"/>
        <v xml:space="preserve">R </v>
      </c>
      <c r="E25" s="81">
        <f t="shared" si="10"/>
        <v>19</v>
      </c>
      <c r="F25" s="88"/>
      <c r="G25" s="89"/>
      <c r="H25" s="36"/>
      <c r="I25" s="37"/>
      <c r="J25" s="37"/>
      <c r="K25" s="38"/>
      <c r="L25" s="18" t="str">
        <f t="shared" si="1"/>
        <v>19年目
R 19年</v>
      </c>
      <c r="M25" s="47">
        <f t="shared" si="2"/>
        <v>14</v>
      </c>
      <c r="N25" s="25">
        <f t="shared" si="3"/>
        <v>7.1999999999999995E-2</v>
      </c>
      <c r="O25" s="39">
        <v>12</v>
      </c>
      <c r="P25" s="27" t="s">
        <v>48</v>
      </c>
      <c r="Q25" s="55">
        <v>12</v>
      </c>
      <c r="R25" s="60">
        <f>IF(U25&gt;0,S25,IF(U24&gt;0,U24,0))+IF($I$7=$J$7,0,IF(X25&gt;0,W25,IF(X24&gt;0,X24-1,0)))</f>
        <v>0</v>
      </c>
      <c r="S25" s="76">
        <f t="shared" si="11"/>
        <v>160025</v>
      </c>
      <c r="T25" s="76">
        <f>T24+S25</f>
        <v>3000469</v>
      </c>
      <c r="U25" s="76">
        <f t="shared" si="4"/>
        <v>-777913</v>
      </c>
      <c r="V25" s="76">
        <f>V24+1</f>
        <v>2037</v>
      </c>
      <c r="W25" s="76">
        <f t="shared" si="12"/>
        <v>22226</v>
      </c>
      <c r="X25" s="76">
        <f>($I$7+INT(-$I$7*0.95))-SUM($W$7:W25)</f>
        <v>22223</v>
      </c>
      <c r="Y25" s="57">
        <f>SUM($R$7:R25)</f>
        <v>2222556</v>
      </c>
      <c r="Z25" s="49">
        <f t="shared" si="5"/>
        <v>1</v>
      </c>
      <c r="AA25" s="51"/>
      <c r="AD25" s="49" t="s">
        <v>69</v>
      </c>
      <c r="AE25" s="45">
        <v>10</v>
      </c>
      <c r="AF25" s="46">
        <v>0.1</v>
      </c>
      <c r="AG25" s="46">
        <v>0.1</v>
      </c>
      <c r="AH25" s="45">
        <v>10</v>
      </c>
      <c r="AI25" s="46">
        <v>0.1</v>
      </c>
      <c r="AJ25" s="46">
        <v>0.1</v>
      </c>
    </row>
    <row r="26" spans="1:36" s="2" customFormat="1" ht="23.25" customHeight="1" thickBot="1" x14ac:dyDescent="0.2">
      <c r="A26" s="33"/>
      <c r="B26" s="34"/>
      <c r="C26" s="81">
        <f t="shared" si="9"/>
        <v>20</v>
      </c>
      <c r="D26" s="81" t="str">
        <f t="shared" si="0"/>
        <v xml:space="preserve">R </v>
      </c>
      <c r="E26" s="81">
        <f t="shared" si="10"/>
        <v>20</v>
      </c>
      <c r="F26" s="88"/>
      <c r="G26" s="89"/>
      <c r="H26" s="36"/>
      <c r="I26" s="37"/>
      <c r="J26" s="37"/>
      <c r="K26" s="38"/>
      <c r="L26" s="18" t="str">
        <f t="shared" si="1"/>
        <v>20年目
R 20年</v>
      </c>
      <c r="M26" s="47">
        <f t="shared" si="2"/>
        <v>14</v>
      </c>
      <c r="N26" s="25">
        <f t="shared" si="3"/>
        <v>7.1999999999999995E-2</v>
      </c>
      <c r="O26" s="39">
        <v>12</v>
      </c>
      <c r="P26" s="27" t="s">
        <v>48</v>
      </c>
      <c r="Q26" s="55">
        <v>12</v>
      </c>
      <c r="R26" s="60">
        <f>IF(U26&gt;0,S26,IF(U25&gt;0,U25,0))+IF($I$7=$J$7,0,IF(X26&gt;0,W26,IF(X25&gt;0,X25-1,0)))</f>
        <v>0</v>
      </c>
      <c r="S26" s="76">
        <f t="shared" si="11"/>
        <v>160025</v>
      </c>
      <c r="T26" s="76">
        <f>T25+S26</f>
        <v>3160494</v>
      </c>
      <c r="U26" s="76">
        <f t="shared" si="4"/>
        <v>-937938</v>
      </c>
      <c r="V26" s="76">
        <f>V25+1</f>
        <v>2038</v>
      </c>
      <c r="W26" s="76">
        <f t="shared" si="12"/>
        <v>22226</v>
      </c>
      <c r="X26" s="76">
        <f>($I$7+INT(-$I$7*0.95))-SUM($W$7:W26)</f>
        <v>-3</v>
      </c>
      <c r="Y26" s="57">
        <f>SUM($R$7:R26)</f>
        <v>2222556</v>
      </c>
      <c r="Z26" s="49">
        <f t="shared" si="5"/>
        <v>1</v>
      </c>
      <c r="AA26" s="51"/>
      <c r="AD26" s="50" t="s">
        <v>67</v>
      </c>
      <c r="AE26" s="115">
        <v>8</v>
      </c>
      <c r="AF26" s="116">
        <v>0.125</v>
      </c>
      <c r="AG26" s="116">
        <v>0.125</v>
      </c>
      <c r="AH26" s="115">
        <v>8</v>
      </c>
      <c r="AI26" s="116">
        <v>0.125</v>
      </c>
      <c r="AJ26" s="116">
        <v>0.125</v>
      </c>
    </row>
    <row r="27" spans="1:36" s="2" customFormat="1" ht="23.25" customHeight="1" thickBot="1" x14ac:dyDescent="0.2">
      <c r="A27" s="33"/>
      <c r="B27" s="34"/>
      <c r="C27" s="81">
        <f t="shared" si="9"/>
        <v>21</v>
      </c>
      <c r="D27" s="81" t="str">
        <f t="shared" si="0"/>
        <v xml:space="preserve">R </v>
      </c>
      <c r="E27" s="81">
        <f t="shared" si="10"/>
        <v>21</v>
      </c>
      <c r="F27" s="88"/>
      <c r="G27" s="89"/>
      <c r="H27" s="36"/>
      <c r="I27" s="37"/>
      <c r="J27" s="37"/>
      <c r="K27" s="38"/>
      <c r="L27" s="18" t="str">
        <f t="shared" si="1"/>
        <v>21年目
R 21年</v>
      </c>
      <c r="M27" s="47">
        <f t="shared" si="2"/>
        <v>14</v>
      </c>
      <c r="N27" s="25">
        <f t="shared" si="3"/>
        <v>7.1999999999999995E-2</v>
      </c>
      <c r="O27" s="39">
        <v>12</v>
      </c>
      <c r="P27" s="27" t="s">
        <v>48</v>
      </c>
      <c r="Q27" s="55">
        <v>12</v>
      </c>
      <c r="R27" s="60">
        <f>IF(U27&gt;0,S27,IF(U26&gt;0,U26,0))+IF($I$7=$J$7,0,IF(X27&gt;0,W27,IF(X26&gt;0,X26-1,0)))</f>
        <v>0</v>
      </c>
      <c r="S27" s="76">
        <f t="shared" si="11"/>
        <v>160025</v>
      </c>
      <c r="T27" s="76">
        <f>T26+S27</f>
        <v>3320519</v>
      </c>
      <c r="U27" s="76">
        <f t="shared" si="4"/>
        <v>-1097963</v>
      </c>
      <c r="V27" s="76">
        <f>V26+1</f>
        <v>2039</v>
      </c>
      <c r="W27" s="76">
        <f t="shared" si="12"/>
        <v>22226</v>
      </c>
      <c r="X27" s="76">
        <f>($I$7+INT(-$I$7*0.95))-SUM($W$7:W27)</f>
        <v>-22229</v>
      </c>
      <c r="Y27" s="57">
        <f>SUM($R$7:R27)</f>
        <v>2222556</v>
      </c>
      <c r="Z27" s="49">
        <f t="shared" si="5"/>
        <v>1</v>
      </c>
      <c r="AA27" s="51"/>
      <c r="AD27" s="127" t="s">
        <v>105</v>
      </c>
      <c r="AE27" s="125">
        <v>8</v>
      </c>
      <c r="AF27" s="124">
        <v>0.125</v>
      </c>
      <c r="AG27" s="124">
        <v>0.125</v>
      </c>
      <c r="AH27" s="125">
        <v>8</v>
      </c>
      <c r="AI27" s="124">
        <v>0.125</v>
      </c>
      <c r="AJ27" s="126">
        <v>0.125</v>
      </c>
    </row>
    <row r="28" spans="1:36" s="2" customFormat="1" ht="23.25" customHeight="1" x14ac:dyDescent="0.15">
      <c r="A28" s="33"/>
      <c r="B28" s="34"/>
      <c r="C28" s="81">
        <f t="shared" si="9"/>
        <v>22</v>
      </c>
      <c r="D28" s="81" t="str">
        <f t="shared" si="0"/>
        <v xml:space="preserve">R </v>
      </c>
      <c r="E28" s="81">
        <f t="shared" si="10"/>
        <v>22</v>
      </c>
      <c r="F28" s="88"/>
      <c r="G28" s="89"/>
      <c r="H28" s="36"/>
      <c r="I28" s="37"/>
      <c r="J28" s="37"/>
      <c r="K28" s="38"/>
      <c r="L28" s="18" t="str">
        <f t="shared" si="1"/>
        <v>22年目
R 22年</v>
      </c>
      <c r="M28" s="47">
        <f t="shared" si="2"/>
        <v>14</v>
      </c>
      <c r="N28" s="25">
        <f t="shared" si="3"/>
        <v>7.1999999999999995E-2</v>
      </c>
      <c r="O28" s="39">
        <v>12</v>
      </c>
      <c r="P28" s="27" t="s">
        <v>48</v>
      </c>
      <c r="Q28" s="55">
        <v>12</v>
      </c>
      <c r="R28" s="60">
        <f>IF(U28&gt;0,S28,IF(U27&gt;0,U27,0))+IF($I$7=$J$7,0,IF(X28&gt;0,W28,IF(X27&gt;0,X27-1,0)))</f>
        <v>0</v>
      </c>
      <c r="S28" s="76">
        <f t="shared" si="11"/>
        <v>160025</v>
      </c>
      <c r="T28" s="76">
        <f>T27+S28</f>
        <v>3480544</v>
      </c>
      <c r="U28" s="76">
        <f t="shared" si="4"/>
        <v>-1257988</v>
      </c>
      <c r="V28" s="76">
        <f>V27+1</f>
        <v>2040</v>
      </c>
      <c r="W28" s="76">
        <f t="shared" si="12"/>
        <v>22226</v>
      </c>
      <c r="X28" s="76">
        <f>($I$7+INT(-$I$7*0.95))-SUM($W$7:W28)</f>
        <v>-44455</v>
      </c>
      <c r="Y28" s="57">
        <f>SUM($R$7:R28)</f>
        <v>2222556</v>
      </c>
      <c r="Z28" s="49">
        <f t="shared" si="5"/>
        <v>1</v>
      </c>
      <c r="AA28" s="51"/>
      <c r="AD28" s="31"/>
      <c r="AE28" s="30"/>
    </row>
    <row r="29" spans="1:36" ht="23.25" customHeight="1" thickBot="1" x14ac:dyDescent="0.2">
      <c r="A29" s="33"/>
      <c r="B29" s="34"/>
      <c r="C29" s="81">
        <f t="shared" si="9"/>
        <v>23</v>
      </c>
      <c r="D29" s="81" t="str">
        <f t="shared" si="0"/>
        <v xml:space="preserve">R </v>
      </c>
      <c r="E29" s="81">
        <f t="shared" si="10"/>
        <v>23</v>
      </c>
      <c r="F29" s="88"/>
      <c r="G29" s="89"/>
      <c r="H29" s="36"/>
      <c r="I29" s="37"/>
      <c r="J29" s="37"/>
      <c r="K29" s="38"/>
      <c r="L29" s="18" t="str">
        <f t="shared" si="1"/>
        <v>23年目
R 23年</v>
      </c>
      <c r="M29" s="47">
        <f t="shared" si="2"/>
        <v>14</v>
      </c>
      <c r="N29" s="25">
        <f t="shared" si="3"/>
        <v>7.1999999999999995E-2</v>
      </c>
      <c r="O29" s="39">
        <v>12</v>
      </c>
      <c r="P29" s="27" t="s">
        <v>48</v>
      </c>
      <c r="Q29" s="55">
        <v>12</v>
      </c>
      <c r="R29" s="61">
        <f>IF(U29&gt;0,S29,IF(U28&gt;0,U28,0))+IF($I$7=$J$7,0,IF(X29&gt;0,W29,IF(X28&gt;0,X28-1,0)))</f>
        <v>0</v>
      </c>
      <c r="S29" s="76">
        <f t="shared" si="11"/>
        <v>160025</v>
      </c>
      <c r="T29" s="76">
        <f>T28+S29</f>
        <v>3640569</v>
      </c>
      <c r="U29" s="76">
        <f t="shared" si="4"/>
        <v>-1418013</v>
      </c>
      <c r="V29" s="76">
        <f>V28+1</f>
        <v>2041</v>
      </c>
      <c r="W29" s="76">
        <f t="shared" si="12"/>
        <v>22226</v>
      </c>
      <c r="X29" s="76">
        <f>($I$7+INT(-$I$7*0.95))-SUM($W$7:W29)</f>
        <v>-66681</v>
      </c>
      <c r="Y29" s="57">
        <f>SUM($R$7:R29)</f>
        <v>2222556</v>
      </c>
      <c r="Z29" s="49">
        <f t="shared" si="5"/>
        <v>1</v>
      </c>
      <c r="AA29" s="52"/>
      <c r="AD29" s="6"/>
      <c r="AE29" s="2"/>
      <c r="AF29" s="2"/>
      <c r="AG29" s="2"/>
      <c r="AH29" s="2"/>
      <c r="AI29" s="2"/>
      <c r="AJ29" s="2"/>
    </row>
    <row r="30" spans="1:36" ht="13.5" customHeight="1" x14ac:dyDescent="0.15">
      <c r="AD30" s="6"/>
      <c r="AE30" s="2"/>
      <c r="AF30" s="2"/>
      <c r="AG30" s="2"/>
      <c r="AH30" s="2"/>
      <c r="AI30" s="2"/>
      <c r="AJ30" s="2"/>
    </row>
    <row r="31" spans="1:36" ht="13.5" customHeight="1" x14ac:dyDescent="0.15">
      <c r="AD31" s="6"/>
      <c r="AE31" s="2"/>
      <c r="AF31" s="2"/>
      <c r="AG31" s="2"/>
      <c r="AH31" s="2"/>
      <c r="AI31" s="2"/>
      <c r="AJ31" s="2"/>
    </row>
    <row r="32" spans="1:36" ht="13.5" customHeight="1" x14ac:dyDescent="0.15">
      <c r="AD32" s="6"/>
      <c r="AE32" s="2"/>
      <c r="AF32" s="2"/>
      <c r="AG32" s="2"/>
      <c r="AH32" s="2"/>
      <c r="AI32" s="2"/>
      <c r="AJ32" s="2"/>
    </row>
    <row r="33" spans="30:36" ht="13.5" customHeight="1" x14ac:dyDescent="0.15">
      <c r="AD33" s="6"/>
      <c r="AE33" s="2"/>
      <c r="AF33" s="2"/>
      <c r="AG33" s="2"/>
      <c r="AH33" s="2"/>
      <c r="AI33" s="2"/>
      <c r="AJ33" s="2"/>
    </row>
    <row r="34" spans="30:36" ht="13.5" customHeight="1" x14ac:dyDescent="0.15">
      <c r="AD34" s="6"/>
      <c r="AE34" s="2"/>
      <c r="AF34" s="2"/>
      <c r="AG34" s="2"/>
      <c r="AH34" s="2"/>
      <c r="AI34" s="2"/>
      <c r="AJ34" s="2"/>
    </row>
    <row r="35" spans="30:36" ht="13.5" customHeight="1" x14ac:dyDescent="0.15">
      <c r="AD35" s="6"/>
      <c r="AE35" s="2"/>
      <c r="AF35" s="2"/>
      <c r="AG35" s="2"/>
      <c r="AH35" s="2"/>
      <c r="AI35" s="2"/>
      <c r="AJ35" s="2"/>
    </row>
    <row r="36" spans="30:36" ht="13.5" customHeight="1" x14ac:dyDescent="0.15">
      <c r="AD36" s="6"/>
      <c r="AE36" s="2"/>
      <c r="AF36" s="2"/>
      <c r="AG36" s="2"/>
      <c r="AH36" s="2"/>
      <c r="AI36" s="2"/>
      <c r="AJ36" s="2"/>
    </row>
    <row r="37" spans="30:36" ht="13.5" customHeight="1" x14ac:dyDescent="0.15">
      <c r="AD37" s="6"/>
      <c r="AE37" s="2"/>
      <c r="AF37" s="2"/>
      <c r="AG37" s="2"/>
      <c r="AH37" s="2"/>
      <c r="AI37" s="2"/>
      <c r="AJ37" s="2"/>
    </row>
    <row r="38" spans="30:36" ht="13.5" customHeight="1" x14ac:dyDescent="0.15"/>
    <row r="39" spans="30:36" ht="13.5" customHeight="1" x14ac:dyDescent="0.15"/>
    <row r="40" spans="30:36" ht="13.5" customHeight="1" x14ac:dyDescent="0.15"/>
    <row r="41" spans="30:36" ht="13.5" customHeight="1" x14ac:dyDescent="0.15"/>
    <row r="42" spans="30:36" ht="13.5" customHeight="1" x14ac:dyDescent="0.15"/>
    <row r="43" spans="30:36" ht="13.5" customHeight="1" x14ac:dyDescent="0.15"/>
    <row r="44" spans="30:36" ht="13.5" customHeight="1" x14ac:dyDescent="0.15"/>
    <row r="45" spans="30:36" ht="13.5" customHeight="1" x14ac:dyDescent="0.15"/>
    <row r="46" spans="30:36" ht="13.5" customHeight="1" x14ac:dyDescent="0.15"/>
    <row r="47" spans="30:36" ht="13.5" customHeight="1" x14ac:dyDescent="0.15"/>
    <row r="48" spans="30:36"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sheetData>
  <sheetProtection sheet="1" selectLockedCells="1"/>
  <mergeCells count="4">
    <mergeCell ref="A2:AA2"/>
    <mergeCell ref="O5:Q5"/>
    <mergeCell ref="F5:H5"/>
    <mergeCell ref="A1:AA1"/>
  </mergeCells>
  <phoneticPr fontId="2"/>
  <dataValidations count="4">
    <dataValidation type="whole" operator="greaterThanOrEqual" allowBlank="1" showErrorMessage="1" sqref="I7 G7">
      <formula1>0</formula1>
    </dataValidation>
    <dataValidation type="whole" allowBlank="1" showErrorMessage="1" sqref="H7">
      <formula1>1</formula1>
      <formula2>12</formula2>
    </dataValidation>
    <dataValidation type="list" allowBlank="1" showInputMessage="1" showErrorMessage="1" sqref="F7">
      <formula1>$AL$7:$AL$9</formula1>
    </dataValidation>
    <dataValidation type="list" allowBlank="1" sqref="A7">
      <formula1>$AD$7:$AD$27</formula1>
    </dataValidation>
  </dataValidations>
  <pageMargins left="0.39370078740157483" right="0.19685039370078741" top="0.39370078740157483" bottom="0.39370078740157483" header="0.19685039370078741" footer="0.19685039370078741"/>
  <pageSetup paperSize="9" scale="88" orientation="landscape" cellComments="asDisplayed" r:id="rId1"/>
  <headerFooter alignWithMargins="0">
    <oddFooter>&amp;L◆このシートでは、1円未満の端数を切り上げて計算しています。</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手書用</vt:lpstr>
      <vt:lpstr>自動計算</vt:lpstr>
      <vt:lpstr>自動計算(建物)</vt:lpstr>
      <vt:lpstr>自動計算 (構築物)</vt:lpstr>
      <vt:lpstr>自動計算!Print_Area</vt:lpstr>
      <vt:lpstr>'自動計算 (構築物)'!Print_Area</vt:lpstr>
      <vt:lpstr>'自動計算(建物)'!Print_Area</vt:lpstr>
      <vt:lpstr>手書用!Print_Area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einou1606</dc:creator>
  <cp:keywords/>
  <dc:description/>
  <cp:lastModifiedBy>G105001154</cp:lastModifiedBy>
  <cp:revision>0</cp:revision>
  <cp:lastPrinted>2019-01-04T02:05:46Z</cp:lastPrinted>
  <dcterms:created xsi:type="dcterms:W3CDTF">1601-01-01T00:00:00Z</dcterms:created>
  <dcterms:modified xsi:type="dcterms:W3CDTF">2020-05-25T23:38:35Z</dcterms:modified>
  <cp:category/>
</cp:coreProperties>
</file>